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HRIS - Reporting\HeadcountReports\Headcount 2023\October 2023\"/>
    </mc:Choice>
  </mc:AlternateContent>
  <xr:revisionPtr revIDLastSave="0" documentId="13_ncr:1_{8D1FABF8-3B6E-4E32-ABB7-8E9A5BF2F1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itle Page" sheetId="2" r:id="rId1"/>
    <sheet name="Oct 2023" sheetId="5" r:id="rId2"/>
  </sheets>
  <definedNames>
    <definedName name="_xlnm.Print_Area" localSheetId="1">'Oct 2023'!$A$1:$R$901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" l="1"/>
  <c r="A20" i="2"/>
  <c r="P629" i="5" l="1"/>
  <c r="P630" i="5"/>
  <c r="P631" i="5"/>
  <c r="Q631" i="5" s="1"/>
  <c r="P632" i="5"/>
  <c r="P584" i="5"/>
  <c r="Q584" i="5" s="1"/>
  <c r="P583" i="5"/>
  <c r="Q583" i="5" s="1"/>
  <c r="P582" i="5"/>
  <c r="Q582" i="5" s="1"/>
  <c r="P581" i="5"/>
  <c r="P565" i="5"/>
  <c r="Q565" i="5" s="1"/>
  <c r="P566" i="5"/>
  <c r="Q566" i="5" s="1"/>
  <c r="P567" i="5"/>
  <c r="P568" i="5"/>
  <c r="Q705" i="5"/>
  <c r="Q708" i="5"/>
  <c r="Q649" i="5"/>
  <c r="Q650" i="5"/>
  <c r="Q651" i="5"/>
  <c r="Q652" i="5"/>
  <c r="Q648" i="5"/>
  <c r="Q855" i="5"/>
  <c r="Q850" i="5"/>
  <c r="Q807" i="5"/>
  <c r="Q799" i="5"/>
  <c r="Q798" i="5"/>
  <c r="Q791" i="5"/>
  <c r="Q780" i="5"/>
  <c r="Q767" i="5"/>
  <c r="Q769" i="5"/>
  <c r="Q775" i="5"/>
  <c r="Q732" i="5"/>
  <c r="Q724" i="5"/>
  <c r="Q723" i="5"/>
  <c r="Q716" i="5"/>
  <c r="Q717" i="5"/>
  <c r="Q692" i="5"/>
  <c r="Q700" i="5"/>
  <c r="Q657" i="5"/>
  <c r="Q659" i="5"/>
  <c r="Q641" i="5"/>
  <c r="Q643" i="5"/>
  <c r="Q630" i="5"/>
  <c r="Q632" i="5"/>
  <c r="Q629" i="5"/>
  <c r="Q617" i="5"/>
  <c r="Q618" i="5"/>
  <c r="Q619" i="5"/>
  <c r="Q622" i="5"/>
  <c r="Q625" i="5"/>
  <c r="Q581" i="5"/>
  <c r="P574" i="5"/>
  <c r="Q574" i="5" s="1"/>
  <c r="P575" i="5"/>
  <c r="Q575" i="5" s="1"/>
  <c r="P576" i="5"/>
  <c r="Q576" i="5" s="1"/>
  <c r="P573" i="5"/>
  <c r="Q573" i="5" s="1"/>
  <c r="Q567" i="5"/>
  <c r="Q568" i="5"/>
  <c r="Q557" i="5"/>
  <c r="P555" i="5"/>
  <c r="Q555" i="5" s="1"/>
  <c r="P556" i="5"/>
  <c r="Q556" i="5" s="1"/>
  <c r="P557" i="5"/>
  <c r="P558" i="5"/>
  <c r="Q558" i="5" s="1"/>
  <c r="P554" i="5"/>
  <c r="Q554" i="5" s="1"/>
  <c r="Q540" i="5"/>
  <c r="Q545" i="5"/>
  <c r="Q548" i="5"/>
  <c r="P548" i="5"/>
  <c r="P549" i="5"/>
  <c r="Q549" i="5" s="1"/>
  <c r="P550" i="5"/>
  <c r="Q550" i="5" s="1"/>
  <c r="P547" i="5"/>
  <c r="Q547" i="5" s="1"/>
  <c r="P546" i="5"/>
  <c r="Q546" i="5" s="1"/>
  <c r="P544" i="5"/>
  <c r="Q544" i="5" s="1"/>
  <c r="P543" i="5"/>
  <c r="Q543" i="5" s="1"/>
  <c r="P542" i="5"/>
  <c r="Q542" i="5" s="1"/>
  <c r="P541" i="5"/>
  <c r="Q541" i="5" s="1"/>
  <c r="P539" i="5"/>
  <c r="Q539" i="5" s="1"/>
  <c r="O585" i="5"/>
  <c r="P585" i="5" s="1"/>
  <c r="Q585" i="5" s="1"/>
  <c r="O577" i="5"/>
  <c r="P577" i="5" s="1"/>
  <c r="O569" i="5"/>
  <c r="P569" i="5" s="1"/>
  <c r="Q509" i="5"/>
  <c r="Q501" i="5"/>
  <c r="Q493" i="5"/>
  <c r="Q482" i="5"/>
  <c r="P464" i="5"/>
  <c r="P466" i="5"/>
  <c r="Q466" i="5" s="1"/>
  <c r="P467" i="5"/>
  <c r="Q467" i="5" s="1"/>
  <c r="P468" i="5"/>
  <c r="P469" i="5"/>
  <c r="P471" i="5"/>
  <c r="Q471" i="5" s="1"/>
  <c r="P472" i="5"/>
  <c r="Q472" i="5" s="1"/>
  <c r="P474" i="5"/>
  <c r="Q474" i="5" s="1"/>
  <c r="P475" i="5"/>
  <c r="Q475" i="5" s="1"/>
  <c r="Q469" i="5"/>
  <c r="Q464" i="5"/>
  <c r="P24" i="5"/>
  <c r="Q24" i="5" s="1"/>
  <c r="P23" i="5"/>
  <c r="Q23" i="5" s="1"/>
  <c r="P21" i="5"/>
  <c r="P20" i="5"/>
  <c r="Q20" i="5" s="1"/>
  <c r="P18" i="5"/>
  <c r="P17" i="5"/>
  <c r="P16" i="5"/>
  <c r="Q16" i="5" s="1"/>
  <c r="P15" i="5"/>
  <c r="P13" i="5"/>
  <c r="P431" i="5"/>
  <c r="Q431" i="5" s="1"/>
  <c r="P432" i="5"/>
  <c r="Q432" i="5" s="1"/>
  <c r="P433" i="5"/>
  <c r="Q433" i="5" s="1"/>
  <c r="P434" i="5"/>
  <c r="Q434" i="5" s="1"/>
  <c r="Q426" i="5"/>
  <c r="P423" i="5"/>
  <c r="Q423" i="5" s="1"/>
  <c r="P424" i="5"/>
  <c r="Q424" i="5" s="1"/>
  <c r="P425" i="5"/>
  <c r="Q425" i="5" s="1"/>
  <c r="P426" i="5"/>
  <c r="P415" i="5"/>
  <c r="Q415" i="5" s="1"/>
  <c r="P416" i="5"/>
  <c r="Q416" i="5" s="1"/>
  <c r="P417" i="5"/>
  <c r="Q417" i="5" s="1"/>
  <c r="P418" i="5"/>
  <c r="Q418" i="5" s="1"/>
  <c r="O435" i="5"/>
  <c r="O427" i="5"/>
  <c r="P427" i="5" s="1"/>
  <c r="Q427" i="5" s="1"/>
  <c r="O419" i="5"/>
  <c r="P419" i="5" s="1"/>
  <c r="P404" i="5"/>
  <c r="Q404" i="5" s="1"/>
  <c r="P405" i="5"/>
  <c r="Q405" i="5" s="1"/>
  <c r="P406" i="5"/>
  <c r="Q406" i="5" s="1"/>
  <c r="P407" i="5"/>
  <c r="Q407" i="5" s="1"/>
  <c r="O408" i="5"/>
  <c r="P400" i="5"/>
  <c r="Q400" i="5" s="1"/>
  <c r="P399" i="5"/>
  <c r="Q399" i="5" s="1"/>
  <c r="P397" i="5"/>
  <c r="Q397" i="5" s="1"/>
  <c r="P396" i="5"/>
  <c r="Q396" i="5" s="1"/>
  <c r="P394" i="5"/>
  <c r="Q394" i="5" s="1"/>
  <c r="P393" i="5"/>
  <c r="Q393" i="5" s="1"/>
  <c r="P392" i="5"/>
  <c r="Q392" i="5" s="1"/>
  <c r="P391" i="5"/>
  <c r="Q391" i="5" s="1"/>
  <c r="P389" i="5"/>
  <c r="Q389" i="5" s="1"/>
  <c r="P355" i="5"/>
  <c r="Q355" i="5" s="1"/>
  <c r="P356" i="5"/>
  <c r="Q356" i="5" s="1"/>
  <c r="P357" i="5"/>
  <c r="Q357" i="5" s="1"/>
  <c r="P358" i="5"/>
  <c r="Q358" i="5" s="1"/>
  <c r="O359" i="5"/>
  <c r="Q347" i="5"/>
  <c r="Q348" i="5"/>
  <c r="P347" i="5"/>
  <c r="P348" i="5"/>
  <c r="P349" i="5"/>
  <c r="Q349" i="5" s="1"/>
  <c r="P350" i="5"/>
  <c r="Q350" i="5" s="1"/>
  <c r="O351" i="5"/>
  <c r="P351" i="5" s="1"/>
  <c r="Q351" i="5" s="1"/>
  <c r="P339" i="5"/>
  <c r="Q339" i="5" s="1"/>
  <c r="P340" i="5"/>
  <c r="Q340" i="5" s="1"/>
  <c r="P341" i="5"/>
  <c r="Q341" i="5" s="1"/>
  <c r="P342" i="5"/>
  <c r="Q342" i="5" s="1"/>
  <c r="O343" i="5"/>
  <c r="P329" i="5"/>
  <c r="Q329" i="5" s="1"/>
  <c r="P330" i="5"/>
  <c r="Q330" i="5" s="1"/>
  <c r="P331" i="5"/>
  <c r="Q331" i="5" s="1"/>
  <c r="P332" i="5"/>
  <c r="Q332" i="5" s="1"/>
  <c r="O333" i="5"/>
  <c r="P325" i="5"/>
  <c r="Q325" i="5" s="1"/>
  <c r="P324" i="5"/>
  <c r="Q324" i="5" s="1"/>
  <c r="P322" i="5"/>
  <c r="Q322" i="5" s="1"/>
  <c r="P321" i="5"/>
  <c r="Q321" i="5" s="1"/>
  <c r="P319" i="5"/>
  <c r="Q319" i="5" s="1"/>
  <c r="P318" i="5"/>
  <c r="Q318" i="5" s="1"/>
  <c r="P317" i="5"/>
  <c r="Q317" i="5" s="1"/>
  <c r="P316" i="5"/>
  <c r="Q316" i="5" s="1"/>
  <c r="P314" i="5"/>
  <c r="Q314" i="5" s="1"/>
  <c r="P281" i="5"/>
  <c r="Q281" i="5" s="1"/>
  <c r="P282" i="5"/>
  <c r="Q282" i="5" s="1"/>
  <c r="P283" i="5"/>
  <c r="Q283" i="5" s="1"/>
  <c r="P284" i="5"/>
  <c r="Q284" i="5" s="1"/>
  <c r="Q273" i="5"/>
  <c r="P273" i="5"/>
  <c r="P274" i="5"/>
  <c r="Q274" i="5" s="1"/>
  <c r="P275" i="5"/>
  <c r="Q275" i="5" s="1"/>
  <c r="P276" i="5"/>
  <c r="Q276" i="5" s="1"/>
  <c r="P265" i="5"/>
  <c r="Q265" i="5" s="1"/>
  <c r="P266" i="5"/>
  <c r="Q266" i="5" s="1"/>
  <c r="P267" i="5"/>
  <c r="Q267" i="5" s="1"/>
  <c r="P268" i="5"/>
  <c r="Q268" i="5" s="1"/>
  <c r="O285" i="5"/>
  <c r="O277" i="5"/>
  <c r="P277" i="5" s="1"/>
  <c r="Q277" i="5" s="1"/>
  <c r="O269" i="5"/>
  <c r="P269" i="5" s="1"/>
  <c r="Q269" i="5" s="1"/>
  <c r="P254" i="5"/>
  <c r="Q254" i="5" s="1"/>
  <c r="P255" i="5"/>
  <c r="Q255" i="5" s="1"/>
  <c r="P256" i="5"/>
  <c r="Q256" i="5" s="1"/>
  <c r="P257" i="5"/>
  <c r="Q257" i="5" s="1"/>
  <c r="O258" i="5"/>
  <c r="P258" i="5" s="1"/>
  <c r="Q258" i="5" s="1"/>
  <c r="P250" i="5"/>
  <c r="Q250" i="5" s="1"/>
  <c r="P249" i="5"/>
  <c r="Q249" i="5" s="1"/>
  <c r="P247" i="5"/>
  <c r="Q247" i="5" s="1"/>
  <c r="P246" i="5"/>
  <c r="Q246" i="5" s="1"/>
  <c r="P242" i="5"/>
  <c r="Q242" i="5" s="1"/>
  <c r="P243" i="5"/>
  <c r="Q243" i="5" s="1"/>
  <c r="P244" i="5"/>
  <c r="Q244" i="5" s="1"/>
  <c r="P241" i="5"/>
  <c r="Q241" i="5" s="1"/>
  <c r="P239" i="5"/>
  <c r="Q239" i="5" s="1"/>
  <c r="P205" i="5"/>
  <c r="Q205" i="5" s="1"/>
  <c r="P206" i="5"/>
  <c r="Q206" i="5" s="1"/>
  <c r="P207" i="5"/>
  <c r="Q207" i="5" s="1"/>
  <c r="P208" i="5"/>
  <c r="Q208" i="5" s="1"/>
  <c r="Q197" i="5"/>
  <c r="P197" i="5"/>
  <c r="P198" i="5"/>
  <c r="Q198" i="5" s="1"/>
  <c r="P199" i="5"/>
  <c r="Q199" i="5" s="1"/>
  <c r="P200" i="5"/>
  <c r="Q200" i="5" s="1"/>
  <c r="P189" i="5"/>
  <c r="Q189" i="5" s="1"/>
  <c r="P190" i="5"/>
  <c r="Q190" i="5" s="1"/>
  <c r="P191" i="5"/>
  <c r="Q191" i="5" s="1"/>
  <c r="P192" i="5"/>
  <c r="Q192" i="5" s="1"/>
  <c r="O209" i="5"/>
  <c r="P209" i="5" s="1"/>
  <c r="Q209" i="5" s="1"/>
  <c r="O201" i="5"/>
  <c r="O193" i="5"/>
  <c r="P178" i="5"/>
  <c r="Q178" i="5" s="1"/>
  <c r="P179" i="5"/>
  <c r="Q179" i="5" s="1"/>
  <c r="P180" i="5"/>
  <c r="Q180" i="5" s="1"/>
  <c r="P181" i="5"/>
  <c r="Q181" i="5" s="1"/>
  <c r="O182" i="5"/>
  <c r="P174" i="5"/>
  <c r="Q174" i="5" s="1"/>
  <c r="P173" i="5"/>
  <c r="Q173" i="5" s="1"/>
  <c r="P171" i="5"/>
  <c r="Q171" i="5" s="1"/>
  <c r="P170" i="5"/>
  <c r="Q170" i="5" s="1"/>
  <c r="P166" i="5"/>
  <c r="Q166" i="5" s="1"/>
  <c r="P167" i="5"/>
  <c r="Q167" i="5" s="1"/>
  <c r="P168" i="5"/>
  <c r="Q168" i="5" s="1"/>
  <c r="P165" i="5"/>
  <c r="Q165" i="5" s="1"/>
  <c r="P163" i="5"/>
  <c r="Q163" i="5" s="1"/>
  <c r="P130" i="5"/>
  <c r="Q130" i="5" s="1"/>
  <c r="P131" i="5"/>
  <c r="Q131" i="5" s="1"/>
  <c r="P132" i="5"/>
  <c r="Q132" i="5" s="1"/>
  <c r="P133" i="5"/>
  <c r="Q133" i="5" s="1"/>
  <c r="P122" i="5"/>
  <c r="Q122" i="5" s="1"/>
  <c r="P123" i="5"/>
  <c r="Q123" i="5" s="1"/>
  <c r="P124" i="5"/>
  <c r="Q124" i="5" s="1"/>
  <c r="P125" i="5"/>
  <c r="Q125" i="5" s="1"/>
  <c r="P114" i="5"/>
  <c r="Q114" i="5" s="1"/>
  <c r="P115" i="5"/>
  <c r="Q115" i="5" s="1"/>
  <c r="P116" i="5"/>
  <c r="Q116" i="5" s="1"/>
  <c r="P117" i="5"/>
  <c r="Q117" i="5" s="1"/>
  <c r="O134" i="5"/>
  <c r="P134" i="5" s="1"/>
  <c r="O126" i="5"/>
  <c r="O118" i="5"/>
  <c r="P103" i="5"/>
  <c r="Q103" i="5" s="1"/>
  <c r="P104" i="5"/>
  <c r="Q104" i="5" s="1"/>
  <c r="P105" i="5"/>
  <c r="Q105" i="5" s="1"/>
  <c r="P106" i="5"/>
  <c r="Q106" i="5" s="1"/>
  <c r="O107" i="5"/>
  <c r="P99" i="5"/>
  <c r="Q99" i="5" s="1"/>
  <c r="P98" i="5"/>
  <c r="Q98" i="5" s="1"/>
  <c r="P96" i="5"/>
  <c r="Q96" i="5" s="1"/>
  <c r="P95" i="5"/>
  <c r="Q95" i="5" s="1"/>
  <c r="P91" i="5"/>
  <c r="Q91" i="5" s="1"/>
  <c r="P92" i="5"/>
  <c r="Q92" i="5" s="1"/>
  <c r="P93" i="5"/>
  <c r="Q93" i="5" s="1"/>
  <c r="P90" i="5"/>
  <c r="Q90" i="5" s="1"/>
  <c r="P88" i="5"/>
  <c r="Q88" i="5" s="1"/>
  <c r="B75" i="5"/>
  <c r="B901" i="5" s="1"/>
  <c r="P55" i="5"/>
  <c r="Q55" i="5" s="1"/>
  <c r="P56" i="5"/>
  <c r="Q56" i="5" s="1"/>
  <c r="P57" i="5"/>
  <c r="Q57" i="5" s="1"/>
  <c r="P58" i="5"/>
  <c r="Q58" i="5" s="1"/>
  <c r="P47" i="5"/>
  <c r="Q47" i="5" s="1"/>
  <c r="P48" i="5"/>
  <c r="Q48" i="5" s="1"/>
  <c r="P49" i="5"/>
  <c r="Q49" i="5" s="1"/>
  <c r="P50" i="5"/>
  <c r="Q50" i="5" s="1"/>
  <c r="O59" i="5"/>
  <c r="O51" i="5"/>
  <c r="P39" i="5"/>
  <c r="Q39" i="5" s="1"/>
  <c r="P40" i="5"/>
  <c r="Q40" i="5" s="1"/>
  <c r="P41" i="5"/>
  <c r="Q41" i="5" s="1"/>
  <c r="P42" i="5"/>
  <c r="Q42" i="5" s="1"/>
  <c r="O43" i="5"/>
  <c r="P506" i="5"/>
  <c r="Q506" i="5" s="1"/>
  <c r="P507" i="5"/>
  <c r="Q507" i="5" s="1"/>
  <c r="P508" i="5"/>
  <c r="Q508" i="5" s="1"/>
  <c r="P509" i="5"/>
  <c r="P498" i="5"/>
  <c r="Q498" i="5" s="1"/>
  <c r="P499" i="5"/>
  <c r="Q499" i="5" s="1"/>
  <c r="P500" i="5"/>
  <c r="Q500" i="5" s="1"/>
  <c r="P501" i="5"/>
  <c r="P490" i="5"/>
  <c r="Q490" i="5" s="1"/>
  <c r="P491" i="5"/>
  <c r="Q491" i="5" s="1"/>
  <c r="P492" i="5"/>
  <c r="Q492" i="5" s="1"/>
  <c r="P493" i="5"/>
  <c r="P479" i="5"/>
  <c r="Q479" i="5" s="1"/>
  <c r="P480" i="5"/>
  <c r="Q480" i="5" s="1"/>
  <c r="P481" i="5"/>
  <c r="Q481" i="5" s="1"/>
  <c r="P482" i="5"/>
  <c r="Q468" i="5"/>
  <c r="O510" i="5"/>
  <c r="P510" i="5" s="1"/>
  <c r="O502" i="5"/>
  <c r="P502" i="5" s="1"/>
  <c r="O494" i="5"/>
  <c r="P494" i="5" s="1"/>
  <c r="Q494" i="5" s="1"/>
  <c r="O483" i="5"/>
  <c r="P483" i="5" s="1"/>
  <c r="Q483" i="5" s="1"/>
  <c r="P806" i="5"/>
  <c r="Q806" i="5" s="1"/>
  <c r="P807" i="5"/>
  <c r="P808" i="5"/>
  <c r="Q808" i="5" s="1"/>
  <c r="P809" i="5"/>
  <c r="Q809" i="5" s="1"/>
  <c r="P731" i="5"/>
  <c r="Q731" i="5" s="1"/>
  <c r="P732" i="5"/>
  <c r="P733" i="5"/>
  <c r="Q733" i="5" s="1"/>
  <c r="P734" i="5"/>
  <c r="Q734" i="5" s="1"/>
  <c r="P723" i="5"/>
  <c r="P724" i="5"/>
  <c r="P725" i="5"/>
  <c r="Q725" i="5" s="1"/>
  <c r="P726" i="5"/>
  <c r="Q726" i="5" s="1"/>
  <c r="P715" i="5"/>
  <c r="Q715" i="5" s="1"/>
  <c r="P716" i="5"/>
  <c r="P717" i="5"/>
  <c r="P718" i="5"/>
  <c r="Q718" i="5" s="1"/>
  <c r="P704" i="5"/>
  <c r="Q704" i="5" s="1"/>
  <c r="P705" i="5"/>
  <c r="P706" i="5"/>
  <c r="Q706" i="5" s="1"/>
  <c r="P707" i="5"/>
  <c r="Q707" i="5" s="1"/>
  <c r="O735" i="5"/>
  <c r="P735" i="5" s="1"/>
  <c r="Q735" i="5" s="1"/>
  <c r="O727" i="5"/>
  <c r="P727" i="5" s="1"/>
  <c r="O719" i="5"/>
  <c r="P719" i="5" s="1"/>
  <c r="Q719" i="5" s="1"/>
  <c r="O708" i="5"/>
  <c r="P708" i="5" s="1"/>
  <c r="P691" i="5"/>
  <c r="Q691" i="5" s="1"/>
  <c r="P692" i="5"/>
  <c r="P693" i="5"/>
  <c r="Q693" i="5" s="1"/>
  <c r="P694" i="5"/>
  <c r="Q694" i="5" s="1"/>
  <c r="P696" i="5"/>
  <c r="Q696" i="5" s="1"/>
  <c r="P697" i="5"/>
  <c r="Q697" i="5" s="1"/>
  <c r="P699" i="5"/>
  <c r="Q699" i="5" s="1"/>
  <c r="P700" i="5"/>
  <c r="P689" i="5"/>
  <c r="Q689" i="5" s="1"/>
  <c r="P657" i="5"/>
  <c r="P658" i="5"/>
  <c r="Q658" i="5" s="1"/>
  <c r="P659" i="5"/>
  <c r="P660" i="5"/>
  <c r="Q660" i="5" s="1"/>
  <c r="P656" i="5"/>
  <c r="Q656" i="5" s="1"/>
  <c r="P649" i="5"/>
  <c r="P650" i="5"/>
  <c r="P651" i="5"/>
  <c r="P652" i="5"/>
  <c r="P648" i="5"/>
  <c r="P640" i="5"/>
  <c r="Q640" i="5" s="1"/>
  <c r="P641" i="5"/>
  <c r="P642" i="5"/>
  <c r="Q642" i="5" s="1"/>
  <c r="P643" i="5"/>
  <c r="P644" i="5"/>
  <c r="Q644" i="5" s="1"/>
  <c r="O633" i="5"/>
  <c r="P633" i="5" s="1"/>
  <c r="P616" i="5"/>
  <c r="Q616" i="5" s="1"/>
  <c r="P617" i="5"/>
  <c r="P618" i="5"/>
  <c r="P619" i="5"/>
  <c r="P621" i="5"/>
  <c r="Q621" i="5" s="1"/>
  <c r="P622" i="5"/>
  <c r="P624" i="5"/>
  <c r="Q624" i="5" s="1"/>
  <c r="P625" i="5"/>
  <c r="P614" i="5"/>
  <c r="Q614" i="5" s="1"/>
  <c r="P798" i="5"/>
  <c r="P799" i="5"/>
  <c r="P800" i="5"/>
  <c r="Q800" i="5" s="1"/>
  <c r="P801" i="5"/>
  <c r="Q801" i="5" s="1"/>
  <c r="P790" i="5"/>
  <c r="Q790" i="5" s="1"/>
  <c r="P791" i="5"/>
  <c r="P792" i="5"/>
  <c r="Q792" i="5" s="1"/>
  <c r="P793" i="5"/>
  <c r="Q793" i="5" s="1"/>
  <c r="P779" i="5"/>
  <c r="Q779" i="5" s="1"/>
  <c r="P780" i="5"/>
  <c r="P781" i="5"/>
  <c r="Q781" i="5" s="1"/>
  <c r="P782" i="5"/>
  <c r="Q782" i="5" s="1"/>
  <c r="O810" i="5"/>
  <c r="P810" i="5" s="1"/>
  <c r="O802" i="5"/>
  <c r="P802" i="5" s="1"/>
  <c r="O794" i="5"/>
  <c r="P794" i="5" s="1"/>
  <c r="O783" i="5"/>
  <c r="P783" i="5" s="1"/>
  <c r="P766" i="5"/>
  <c r="Q766" i="5" s="1"/>
  <c r="P767" i="5"/>
  <c r="P768" i="5"/>
  <c r="Q768" i="5" s="1"/>
  <c r="P769" i="5"/>
  <c r="P771" i="5"/>
  <c r="Q771" i="5" s="1"/>
  <c r="P772" i="5"/>
  <c r="Q772" i="5" s="1"/>
  <c r="P774" i="5"/>
  <c r="Q774" i="5" s="1"/>
  <c r="P775" i="5"/>
  <c r="P764" i="5"/>
  <c r="Q764" i="5" s="1"/>
  <c r="P881" i="5"/>
  <c r="Q881" i="5" s="1"/>
  <c r="P882" i="5"/>
  <c r="Q882" i="5" s="1"/>
  <c r="P883" i="5"/>
  <c r="Q883" i="5" s="1"/>
  <c r="P884" i="5"/>
  <c r="Q884" i="5" s="1"/>
  <c r="P873" i="5"/>
  <c r="Q873" i="5" s="1"/>
  <c r="P874" i="5"/>
  <c r="Q874" i="5" s="1"/>
  <c r="P875" i="5"/>
  <c r="Q875" i="5" s="1"/>
  <c r="P876" i="5"/>
  <c r="Q876" i="5" s="1"/>
  <c r="P865" i="5"/>
  <c r="Q865" i="5" s="1"/>
  <c r="P866" i="5"/>
  <c r="Q866" i="5" s="1"/>
  <c r="P867" i="5"/>
  <c r="Q867" i="5" s="1"/>
  <c r="P868" i="5"/>
  <c r="Q868" i="5" s="1"/>
  <c r="O885" i="5"/>
  <c r="P885" i="5" s="1"/>
  <c r="O877" i="5"/>
  <c r="P877" i="5" s="1"/>
  <c r="Q877" i="5" s="1"/>
  <c r="O869" i="5"/>
  <c r="P869" i="5" s="1"/>
  <c r="P854" i="5"/>
  <c r="Q854" i="5" s="1"/>
  <c r="P855" i="5"/>
  <c r="P856" i="5"/>
  <c r="Q856" i="5" s="1"/>
  <c r="P857" i="5"/>
  <c r="Q857" i="5" s="1"/>
  <c r="O858" i="5"/>
  <c r="P858" i="5" s="1"/>
  <c r="P839" i="5"/>
  <c r="Q839" i="5" s="1"/>
  <c r="P841" i="5"/>
  <c r="Q841" i="5" s="1"/>
  <c r="P842" i="5"/>
  <c r="Q842" i="5" s="1"/>
  <c r="P843" i="5"/>
  <c r="Q843" i="5" s="1"/>
  <c r="P844" i="5"/>
  <c r="Q844" i="5" s="1"/>
  <c r="P846" i="5"/>
  <c r="Q846" i="5" s="1"/>
  <c r="P847" i="5"/>
  <c r="Q847" i="5" s="1"/>
  <c r="P849" i="5"/>
  <c r="Q849" i="5" s="1"/>
  <c r="P850" i="5"/>
  <c r="P29" i="5"/>
  <c r="Q29" i="5" s="1"/>
  <c r="P30" i="5"/>
  <c r="Q30" i="5" s="1"/>
  <c r="P31" i="5"/>
  <c r="Q31" i="5" s="1"/>
  <c r="P28" i="5"/>
  <c r="Q28" i="5" s="1"/>
  <c r="Q21" i="5"/>
  <c r="Q17" i="5"/>
  <c r="Q18" i="5"/>
  <c r="Q15" i="5"/>
  <c r="O32" i="5"/>
  <c r="P32" i="5" s="1"/>
  <c r="Q13" i="5"/>
  <c r="B887" i="5"/>
  <c r="K868" i="5"/>
  <c r="J868" i="5"/>
  <c r="I868" i="5"/>
  <c r="K867" i="5"/>
  <c r="J867" i="5"/>
  <c r="I867" i="5"/>
  <c r="K866" i="5"/>
  <c r="J866" i="5"/>
  <c r="I866" i="5"/>
  <c r="K865" i="5"/>
  <c r="J865" i="5"/>
  <c r="I865" i="5"/>
  <c r="B812" i="5"/>
  <c r="F809" i="5"/>
  <c r="E809" i="5"/>
  <c r="G808" i="5"/>
  <c r="G810" i="5" s="1"/>
  <c r="F808" i="5"/>
  <c r="E808" i="5"/>
  <c r="E733" i="5" s="1"/>
  <c r="F807" i="5"/>
  <c r="E807" i="5"/>
  <c r="E799" i="5" s="1"/>
  <c r="F806" i="5"/>
  <c r="F798" i="5" s="1"/>
  <c r="E806" i="5"/>
  <c r="E731" i="5" s="1"/>
  <c r="H801" i="5"/>
  <c r="G801" i="5"/>
  <c r="H800" i="5"/>
  <c r="H799" i="5"/>
  <c r="G799" i="5"/>
  <c r="H798" i="5"/>
  <c r="G798" i="5"/>
  <c r="H793" i="5"/>
  <c r="H868" i="5" s="1"/>
  <c r="F793" i="5"/>
  <c r="E793" i="5"/>
  <c r="H792" i="5"/>
  <c r="H867" i="5" s="1"/>
  <c r="G792" i="5"/>
  <c r="F792" i="5"/>
  <c r="E792" i="5"/>
  <c r="E717" i="5" s="1"/>
  <c r="H791" i="5"/>
  <c r="H866" i="5" s="1"/>
  <c r="F791" i="5"/>
  <c r="H790" i="5"/>
  <c r="H865" i="5" s="1"/>
  <c r="E790" i="5"/>
  <c r="H782" i="5"/>
  <c r="F782" i="5"/>
  <c r="E782" i="5"/>
  <c r="G781" i="5"/>
  <c r="G783" i="5" s="1"/>
  <c r="F781" i="5"/>
  <c r="E781" i="5"/>
  <c r="E706" i="5" s="1"/>
  <c r="H780" i="5"/>
  <c r="H779" i="5"/>
  <c r="H775" i="5"/>
  <c r="E775" i="5"/>
  <c r="H774" i="5"/>
  <c r="F774" i="5"/>
  <c r="F699" i="5" s="1"/>
  <c r="E774" i="5"/>
  <c r="E699" i="5" s="1"/>
  <c r="H772" i="5"/>
  <c r="F772" i="5"/>
  <c r="E772" i="5"/>
  <c r="H771" i="5"/>
  <c r="F771" i="5"/>
  <c r="F696" i="5" s="1"/>
  <c r="E771" i="5"/>
  <c r="E696" i="5" s="1"/>
  <c r="H769" i="5"/>
  <c r="F769" i="5"/>
  <c r="E769" i="5"/>
  <c r="G768" i="5"/>
  <c r="F768" i="5"/>
  <c r="E768" i="5"/>
  <c r="E693" i="5" s="1"/>
  <c r="H767" i="5"/>
  <c r="H766" i="5"/>
  <c r="H764" i="5"/>
  <c r="B737" i="5"/>
  <c r="H734" i="5"/>
  <c r="E734" i="5"/>
  <c r="H733" i="5"/>
  <c r="G733" i="5"/>
  <c r="G735" i="5" s="1"/>
  <c r="H732" i="5"/>
  <c r="F732" i="5"/>
  <c r="F735" i="5" s="1"/>
  <c r="E732" i="5"/>
  <c r="E724" i="5" s="1"/>
  <c r="H731" i="5"/>
  <c r="H727" i="5"/>
  <c r="G726" i="5"/>
  <c r="G724" i="5"/>
  <c r="G723" i="5"/>
  <c r="F723" i="5"/>
  <c r="H719" i="5"/>
  <c r="F718" i="5"/>
  <c r="E718" i="5"/>
  <c r="G717" i="5"/>
  <c r="G719" i="5" s="1"/>
  <c r="F717" i="5"/>
  <c r="F725" i="5" s="1"/>
  <c r="F708" i="5"/>
  <c r="E707" i="5"/>
  <c r="H706" i="5"/>
  <c r="H781" i="5" s="1"/>
  <c r="G706" i="5"/>
  <c r="G708" i="5" s="1"/>
  <c r="E704" i="5"/>
  <c r="F700" i="5"/>
  <c r="E700" i="5"/>
  <c r="F697" i="5"/>
  <c r="E697" i="5"/>
  <c r="F694" i="5"/>
  <c r="E694" i="5"/>
  <c r="H693" i="5"/>
  <c r="H768" i="5" s="1"/>
  <c r="G693" i="5"/>
  <c r="F693" i="5"/>
  <c r="E691" i="5"/>
  <c r="E689" i="5"/>
  <c r="B662" i="5"/>
  <c r="H659" i="5"/>
  <c r="G659" i="5"/>
  <c r="H658" i="5"/>
  <c r="G658" i="5"/>
  <c r="H657" i="5"/>
  <c r="G657" i="5"/>
  <c r="F657" i="5"/>
  <c r="F660" i="5" s="1"/>
  <c r="E657" i="5"/>
  <c r="E649" i="5" s="1"/>
  <c r="H656" i="5"/>
  <c r="G656" i="5"/>
  <c r="H652" i="5"/>
  <c r="G652" i="5"/>
  <c r="F651" i="5"/>
  <c r="E651" i="5"/>
  <c r="F650" i="5"/>
  <c r="E650" i="5"/>
  <c r="F648" i="5"/>
  <c r="E648" i="5"/>
  <c r="H644" i="5"/>
  <c r="G644" i="5"/>
  <c r="E644" i="5"/>
  <c r="F641" i="5"/>
  <c r="F644" i="5" s="1"/>
  <c r="H633" i="5"/>
  <c r="G633" i="5"/>
  <c r="F633" i="5"/>
  <c r="E633" i="5"/>
  <c r="E625" i="5"/>
  <c r="B587" i="5"/>
  <c r="B512" i="5"/>
  <c r="B437" i="5"/>
  <c r="H434" i="5"/>
  <c r="F434" i="5"/>
  <c r="E434" i="5"/>
  <c r="H433" i="5"/>
  <c r="G433" i="5"/>
  <c r="G435" i="5" s="1"/>
  <c r="F433" i="5"/>
  <c r="E433" i="5"/>
  <c r="H432" i="5"/>
  <c r="E432" i="5"/>
  <c r="H431" i="5"/>
  <c r="E431" i="5"/>
  <c r="H427" i="5"/>
  <c r="G426" i="5"/>
  <c r="G423" i="5"/>
  <c r="H419" i="5"/>
  <c r="F418" i="5"/>
  <c r="E418" i="5"/>
  <c r="G417" i="5"/>
  <c r="F417" i="5"/>
  <c r="E417" i="5"/>
  <c r="G416" i="5"/>
  <c r="F416" i="5"/>
  <c r="F424" i="5" s="1"/>
  <c r="E416" i="5"/>
  <c r="F415" i="5"/>
  <c r="F423" i="5" s="1"/>
  <c r="E415" i="5"/>
  <c r="F407" i="5"/>
  <c r="E407" i="5"/>
  <c r="H406" i="5"/>
  <c r="H408" i="5" s="1"/>
  <c r="G406" i="5"/>
  <c r="G408" i="5" s="1"/>
  <c r="F406" i="5"/>
  <c r="E406" i="5"/>
  <c r="F405" i="5"/>
  <c r="E405" i="5"/>
  <c r="F404" i="5"/>
  <c r="E404" i="5"/>
  <c r="F400" i="5"/>
  <c r="E400" i="5"/>
  <c r="F399" i="5"/>
  <c r="E399" i="5"/>
  <c r="Q398" i="5"/>
  <c r="F397" i="5"/>
  <c r="E397" i="5"/>
  <c r="F396" i="5"/>
  <c r="E396" i="5"/>
  <c r="F394" i="5"/>
  <c r="E394" i="5"/>
  <c r="H393" i="5"/>
  <c r="G393" i="5"/>
  <c r="F393" i="5"/>
  <c r="E393" i="5"/>
  <c r="E392" i="5"/>
  <c r="E391" i="5"/>
  <c r="B361" i="5"/>
  <c r="H358" i="5"/>
  <c r="F358" i="5"/>
  <c r="E358" i="5"/>
  <c r="H357" i="5"/>
  <c r="G357" i="5"/>
  <c r="G359" i="5" s="1"/>
  <c r="F357" i="5"/>
  <c r="E357" i="5"/>
  <c r="H356" i="5"/>
  <c r="E356" i="5"/>
  <c r="H355" i="5"/>
  <c r="F355" i="5"/>
  <c r="E355" i="5"/>
  <c r="H351" i="5"/>
  <c r="G350" i="5"/>
  <c r="G348" i="5"/>
  <c r="G347" i="5"/>
  <c r="H343" i="5"/>
  <c r="F342" i="5"/>
  <c r="E342" i="5"/>
  <c r="G341" i="5"/>
  <c r="F341" i="5"/>
  <c r="E341" i="5"/>
  <c r="F340" i="5"/>
  <c r="F348" i="5" s="1"/>
  <c r="E340" i="5"/>
  <c r="F339" i="5"/>
  <c r="E339" i="5"/>
  <c r="F332" i="5"/>
  <c r="E332" i="5"/>
  <c r="H331" i="5"/>
  <c r="H333" i="5" s="1"/>
  <c r="G331" i="5"/>
  <c r="G333" i="5" s="1"/>
  <c r="F331" i="5"/>
  <c r="E331" i="5"/>
  <c r="F330" i="5"/>
  <c r="E330" i="5"/>
  <c r="F329" i="5"/>
  <c r="E329" i="5"/>
  <c r="F325" i="5"/>
  <c r="E325" i="5"/>
  <c r="F324" i="5"/>
  <c r="E324" i="5"/>
  <c r="F322" i="5"/>
  <c r="E322" i="5"/>
  <c r="F321" i="5"/>
  <c r="E321" i="5"/>
  <c r="F319" i="5"/>
  <c r="E319" i="5"/>
  <c r="H318" i="5"/>
  <c r="G318" i="5"/>
  <c r="F318" i="5"/>
  <c r="E318" i="5"/>
  <c r="E317" i="5"/>
  <c r="E316" i="5"/>
  <c r="E314" i="5"/>
  <c r="B287" i="5"/>
  <c r="H284" i="5"/>
  <c r="F284" i="5"/>
  <c r="E284" i="5"/>
  <c r="H283" i="5"/>
  <c r="G283" i="5"/>
  <c r="G285" i="5" s="1"/>
  <c r="F283" i="5"/>
  <c r="E283" i="5"/>
  <c r="H282" i="5"/>
  <c r="F282" i="5"/>
  <c r="E282" i="5"/>
  <c r="H281" i="5"/>
  <c r="F281" i="5"/>
  <c r="H277" i="5"/>
  <c r="G273" i="5"/>
  <c r="H269" i="5"/>
  <c r="G268" i="5"/>
  <c r="G276" i="5" s="1"/>
  <c r="F268" i="5"/>
  <c r="E268" i="5"/>
  <c r="G267" i="5"/>
  <c r="F267" i="5"/>
  <c r="E267" i="5"/>
  <c r="G266" i="5"/>
  <c r="F266" i="5"/>
  <c r="E266" i="5"/>
  <c r="F265" i="5"/>
  <c r="E265" i="5"/>
  <c r="E273" i="5" s="1"/>
  <c r="F257" i="5"/>
  <c r="E257" i="5"/>
  <c r="H256" i="5"/>
  <c r="H258" i="5" s="1"/>
  <c r="G256" i="5"/>
  <c r="G258" i="5" s="1"/>
  <c r="F256" i="5"/>
  <c r="E256" i="5"/>
  <c r="F255" i="5"/>
  <c r="E255" i="5"/>
  <c r="E254" i="5"/>
  <c r="E250" i="5"/>
  <c r="F249" i="5"/>
  <c r="E249" i="5"/>
  <c r="F247" i="5"/>
  <c r="E247" i="5"/>
  <c r="F246" i="5"/>
  <c r="E246" i="5"/>
  <c r="F244" i="5"/>
  <c r="E244" i="5"/>
  <c r="H243" i="5"/>
  <c r="G243" i="5"/>
  <c r="F243" i="5"/>
  <c r="E243" i="5"/>
  <c r="E242" i="5"/>
  <c r="E241" i="5"/>
  <c r="E239" i="5"/>
  <c r="B211" i="5"/>
  <c r="H208" i="5"/>
  <c r="F208" i="5"/>
  <c r="E208" i="5"/>
  <c r="H207" i="5"/>
  <c r="G207" i="5"/>
  <c r="F207" i="5"/>
  <c r="E207" i="5"/>
  <c r="H206" i="5"/>
  <c r="F206" i="5"/>
  <c r="E206" i="5"/>
  <c r="H205" i="5"/>
  <c r="F205" i="5"/>
  <c r="E205" i="5"/>
  <c r="H201" i="5"/>
  <c r="G200" i="5"/>
  <c r="G198" i="5"/>
  <c r="G197" i="5"/>
  <c r="H193" i="5"/>
  <c r="F192" i="5"/>
  <c r="E192" i="5"/>
  <c r="G191" i="5"/>
  <c r="G193" i="5" s="1"/>
  <c r="F191" i="5"/>
  <c r="E191" i="5"/>
  <c r="F190" i="5"/>
  <c r="E190" i="5"/>
  <c r="F189" i="5"/>
  <c r="E189" i="5"/>
  <c r="F181" i="5"/>
  <c r="E181" i="5"/>
  <c r="H180" i="5"/>
  <c r="H182" i="5" s="1"/>
  <c r="G180" i="5"/>
  <c r="G182" i="5" s="1"/>
  <c r="F180" i="5"/>
  <c r="E180" i="5"/>
  <c r="F179" i="5"/>
  <c r="E179" i="5"/>
  <c r="F178" i="5"/>
  <c r="E178" i="5"/>
  <c r="F174" i="5"/>
  <c r="E174" i="5"/>
  <c r="F173" i="5"/>
  <c r="E173" i="5"/>
  <c r="F171" i="5"/>
  <c r="E171" i="5"/>
  <c r="F170" i="5"/>
  <c r="E170" i="5"/>
  <c r="F168" i="5"/>
  <c r="E168" i="5"/>
  <c r="H167" i="5"/>
  <c r="G167" i="5"/>
  <c r="F167" i="5"/>
  <c r="E167" i="5"/>
  <c r="B136" i="5"/>
  <c r="H133" i="5"/>
  <c r="G133" i="5"/>
  <c r="F133" i="5"/>
  <c r="E133" i="5"/>
  <c r="H132" i="5"/>
  <c r="G132" i="5"/>
  <c r="F132" i="5"/>
  <c r="E132" i="5"/>
  <c r="H131" i="5"/>
  <c r="F131" i="5"/>
  <c r="E131" i="5"/>
  <c r="H130" i="5"/>
  <c r="E130" i="5"/>
  <c r="H126" i="5"/>
  <c r="G123" i="5"/>
  <c r="G122" i="5"/>
  <c r="F122" i="5"/>
  <c r="H118" i="5"/>
  <c r="G117" i="5"/>
  <c r="F117" i="5"/>
  <c r="E117" i="5"/>
  <c r="G116" i="5"/>
  <c r="F116" i="5"/>
  <c r="E116" i="5"/>
  <c r="F115" i="5"/>
  <c r="E115" i="5"/>
  <c r="E114" i="5"/>
  <c r="F106" i="5"/>
  <c r="E106" i="5"/>
  <c r="H105" i="5"/>
  <c r="H107" i="5" s="1"/>
  <c r="G105" i="5"/>
  <c r="G107" i="5" s="1"/>
  <c r="F105" i="5"/>
  <c r="E105" i="5"/>
  <c r="E104" i="5"/>
  <c r="F99" i="5"/>
  <c r="E99" i="5"/>
  <c r="F98" i="5"/>
  <c r="E98" i="5"/>
  <c r="F96" i="5"/>
  <c r="E96" i="5"/>
  <c r="F95" i="5"/>
  <c r="E95" i="5"/>
  <c r="F93" i="5"/>
  <c r="E93" i="5"/>
  <c r="H92" i="5"/>
  <c r="G92" i="5"/>
  <c r="F92" i="5"/>
  <c r="E92" i="5"/>
  <c r="B61" i="5"/>
  <c r="H58" i="5"/>
  <c r="F58" i="5"/>
  <c r="E58" i="5"/>
  <c r="H57" i="5"/>
  <c r="G57" i="5"/>
  <c r="G59" i="5" s="1"/>
  <c r="F57" i="5"/>
  <c r="E57" i="5"/>
  <c r="H56" i="5"/>
  <c r="F56" i="5"/>
  <c r="E56" i="5"/>
  <c r="E48" i="5" s="1"/>
  <c r="H55" i="5"/>
  <c r="F55" i="5"/>
  <c r="E55" i="5"/>
  <c r="E47" i="5" s="1"/>
  <c r="H51" i="5"/>
  <c r="G48" i="5"/>
  <c r="H43" i="5"/>
  <c r="G42" i="5"/>
  <c r="F42" i="5"/>
  <c r="E42" i="5"/>
  <c r="G41" i="5"/>
  <c r="F41" i="5"/>
  <c r="E41" i="5"/>
  <c r="F40" i="5"/>
  <c r="G39" i="5"/>
  <c r="G865" i="5" s="1"/>
  <c r="F39" i="5"/>
  <c r="E32" i="5"/>
  <c r="F31" i="5"/>
  <c r="H30" i="5"/>
  <c r="H32" i="5" s="1"/>
  <c r="G30" i="5"/>
  <c r="G32" i="5" s="1"/>
  <c r="F30" i="5"/>
  <c r="E23" i="5"/>
  <c r="E21" i="5"/>
  <c r="G18" i="5"/>
  <c r="H17" i="5"/>
  <c r="G17" i="5"/>
  <c r="F17" i="5"/>
  <c r="P435" i="5" l="1"/>
  <c r="Q435" i="5" s="1"/>
  <c r="Q502" i="5"/>
  <c r="Q869" i="5"/>
  <c r="Q577" i="5"/>
  <c r="Q802" i="5"/>
  <c r="Q569" i="5"/>
  <c r="Q633" i="5"/>
  <c r="Q783" i="5"/>
  <c r="Q727" i="5"/>
  <c r="Q885" i="5"/>
  <c r="Q510" i="5"/>
  <c r="Q810" i="5"/>
  <c r="Q794" i="5"/>
  <c r="Q858" i="5"/>
  <c r="Q419" i="5"/>
  <c r="P408" i="5"/>
  <c r="Q408" i="5" s="1"/>
  <c r="P359" i="5"/>
  <c r="Q359" i="5" s="1"/>
  <c r="P343" i="5"/>
  <c r="Q343" i="5" s="1"/>
  <c r="P333" i="5"/>
  <c r="Q333" i="5" s="1"/>
  <c r="P285" i="5"/>
  <c r="Q285" i="5" s="1"/>
  <c r="P201" i="5"/>
  <c r="Q201" i="5" s="1"/>
  <c r="P193" i="5"/>
  <c r="Q193" i="5" s="1"/>
  <c r="P182" i="5"/>
  <c r="Q182" i="5" s="1"/>
  <c r="Q134" i="5"/>
  <c r="P118" i="5"/>
  <c r="Q118" i="5" s="1"/>
  <c r="P126" i="5"/>
  <c r="Q126" i="5" s="1"/>
  <c r="P107" i="5"/>
  <c r="Q107" i="5" s="1"/>
  <c r="P59" i="5"/>
  <c r="Q59" i="5" s="1"/>
  <c r="P43" i="5"/>
  <c r="Q43" i="5" s="1"/>
  <c r="P51" i="5"/>
  <c r="Q51" i="5" s="1"/>
  <c r="Q32" i="5"/>
  <c r="E349" i="5"/>
  <c r="G425" i="5"/>
  <c r="E124" i="5"/>
  <c r="G866" i="5"/>
  <c r="F435" i="5"/>
  <c r="E798" i="5"/>
  <c r="E200" i="5"/>
  <c r="E426" i="5"/>
  <c r="F124" i="5"/>
  <c r="F275" i="5"/>
  <c r="F32" i="5"/>
  <c r="E107" i="5"/>
  <c r="I869" i="5"/>
  <c r="G800" i="5"/>
  <c r="G802" i="5" s="1"/>
  <c r="E258" i="5"/>
  <c r="E182" i="5"/>
  <c r="F198" i="5"/>
  <c r="E425" i="5"/>
  <c r="F197" i="5"/>
  <c r="G199" i="5"/>
  <c r="G201" i="5" s="1"/>
  <c r="G275" i="5"/>
  <c r="E276" i="5"/>
  <c r="E423" i="5"/>
  <c r="E801" i="5"/>
  <c r="F800" i="5"/>
  <c r="F258" i="5"/>
  <c r="E333" i="5"/>
  <c r="H806" i="5"/>
  <c r="H59" i="5"/>
  <c r="G118" i="5"/>
  <c r="G209" i="5"/>
  <c r="E350" i="5"/>
  <c r="E424" i="5"/>
  <c r="F799" i="5"/>
  <c r="F649" i="5"/>
  <c r="F652" i="5" s="1"/>
  <c r="E125" i="5"/>
  <c r="F801" i="5"/>
  <c r="F134" i="5"/>
  <c r="H285" i="5"/>
  <c r="F724" i="5"/>
  <c r="F350" i="5"/>
  <c r="B376" i="5"/>
  <c r="H209" i="5"/>
  <c r="E275" i="5"/>
  <c r="G419" i="5"/>
  <c r="H435" i="5"/>
  <c r="F719" i="5"/>
  <c r="F200" i="5"/>
  <c r="E783" i="5"/>
  <c r="G134" i="5"/>
  <c r="E198" i="5"/>
  <c r="E347" i="5"/>
  <c r="G125" i="5"/>
  <c r="F347" i="5"/>
  <c r="F425" i="5"/>
  <c r="E867" i="5"/>
  <c r="H134" i="5"/>
  <c r="E209" i="5"/>
  <c r="E285" i="5"/>
  <c r="H783" i="5"/>
  <c r="H802" i="5"/>
  <c r="F269" i="5"/>
  <c r="F349" i="5"/>
  <c r="G274" i="5"/>
  <c r="F274" i="5"/>
  <c r="F333" i="5"/>
  <c r="F426" i="5"/>
  <c r="H808" i="5"/>
  <c r="E810" i="5"/>
  <c r="G660" i="5"/>
  <c r="E868" i="5"/>
  <c r="F125" i="5"/>
  <c r="F193" i="5"/>
  <c r="E708" i="5"/>
  <c r="H809" i="5"/>
  <c r="J869" i="5"/>
  <c r="G867" i="5"/>
  <c r="F868" i="5"/>
  <c r="F48" i="5"/>
  <c r="E118" i="5"/>
  <c r="G269" i="5"/>
  <c r="H359" i="5"/>
  <c r="E735" i="5"/>
  <c r="F810" i="5"/>
  <c r="K869" i="5"/>
  <c r="F43" i="5"/>
  <c r="G868" i="5"/>
  <c r="E435" i="5"/>
  <c r="E652" i="5"/>
  <c r="E660" i="5"/>
  <c r="E715" i="5"/>
  <c r="E719" i="5" s="1"/>
  <c r="G349" i="5"/>
  <c r="G351" i="5" s="1"/>
  <c r="F107" i="5"/>
  <c r="F343" i="5"/>
  <c r="H807" i="5"/>
  <c r="H735" i="5"/>
  <c r="F794" i="5"/>
  <c r="E193" i="5"/>
  <c r="E49" i="5"/>
  <c r="E123" i="5"/>
  <c r="E199" i="5"/>
  <c r="F273" i="5"/>
  <c r="H660" i="5"/>
  <c r="F726" i="5"/>
  <c r="E800" i="5"/>
  <c r="F866" i="5"/>
  <c r="F49" i="5"/>
  <c r="F118" i="5"/>
  <c r="F182" i="5"/>
  <c r="F209" i="5"/>
  <c r="E269" i="5"/>
  <c r="G343" i="5"/>
  <c r="E408" i="5"/>
  <c r="F783" i="5"/>
  <c r="B826" i="5"/>
  <c r="E726" i="5"/>
  <c r="E122" i="5"/>
  <c r="F276" i="5"/>
  <c r="E343" i="5"/>
  <c r="E359" i="5"/>
  <c r="F408" i="5"/>
  <c r="E725" i="5"/>
  <c r="H869" i="5"/>
  <c r="F359" i="5"/>
  <c r="E419" i="5"/>
  <c r="G725" i="5"/>
  <c r="G727" i="5" s="1"/>
  <c r="G43" i="5"/>
  <c r="F867" i="5"/>
  <c r="E134" i="5"/>
  <c r="F419" i="5"/>
  <c r="G424" i="5"/>
  <c r="H708" i="5"/>
  <c r="E794" i="5"/>
  <c r="E866" i="5"/>
  <c r="E59" i="5"/>
  <c r="G124" i="5"/>
  <c r="E274" i="5"/>
  <c r="B301" i="5"/>
  <c r="G49" i="5"/>
  <c r="F59" i="5"/>
  <c r="F199" i="5"/>
  <c r="B751" i="5"/>
  <c r="G794" i="5"/>
  <c r="F47" i="5"/>
  <c r="E197" i="5"/>
  <c r="H794" i="5"/>
  <c r="E865" i="5"/>
  <c r="G47" i="5"/>
  <c r="F865" i="5"/>
  <c r="E50" i="5"/>
  <c r="E348" i="5"/>
  <c r="F50" i="5"/>
  <c r="G50" i="5"/>
  <c r="F123" i="5"/>
  <c r="B150" i="5"/>
  <c r="F285" i="5"/>
  <c r="E43" i="5"/>
  <c r="B226" i="5"/>
  <c r="B451" i="5"/>
  <c r="B526" i="5"/>
  <c r="B601" i="5"/>
  <c r="B676" i="5"/>
  <c r="G427" i="5" l="1"/>
  <c r="G126" i="5"/>
  <c r="G277" i="5"/>
  <c r="E802" i="5"/>
  <c r="E126" i="5"/>
  <c r="E277" i="5"/>
  <c r="E427" i="5"/>
  <c r="F802" i="5"/>
  <c r="G869" i="5"/>
  <c r="E351" i="5"/>
  <c r="F727" i="5"/>
  <c r="F427" i="5"/>
  <c r="E201" i="5"/>
  <c r="F201" i="5"/>
  <c r="F351" i="5"/>
  <c r="E51" i="5"/>
  <c r="H810" i="5"/>
  <c r="E869" i="5"/>
  <c r="F277" i="5"/>
  <c r="F869" i="5"/>
  <c r="E723" i="5"/>
  <c r="E727" i="5" s="1"/>
  <c r="F126" i="5"/>
  <c r="G51" i="5"/>
  <c r="F51" i="5"/>
</calcChain>
</file>

<file path=xl/sharedStrings.xml><?xml version="1.0" encoding="utf-8"?>
<sst xmlns="http://schemas.openxmlformats.org/spreadsheetml/2006/main" count="1397" uniqueCount="58">
  <si>
    <t>UNIVERSITY OF MAINE SYSTEM - HUMAN RESOURCES STATISTICS</t>
  </si>
  <si>
    <t>UM</t>
  </si>
  <si>
    <t>10/31/13</t>
  </si>
  <si>
    <t>10/31/14</t>
  </si>
  <si>
    <t>10/31/15</t>
  </si>
  <si>
    <t>10/31/16</t>
  </si>
  <si>
    <t>A. All Employees</t>
  </si>
  <si>
    <t>Total</t>
  </si>
  <si>
    <t>Administrators</t>
  </si>
  <si>
    <t>Faculty</t>
  </si>
  <si>
    <t>Salaried</t>
  </si>
  <si>
    <t>Hourly</t>
  </si>
  <si>
    <t>Full-time</t>
  </si>
  <si>
    <t>Part-time</t>
  </si>
  <si>
    <t>Regular</t>
  </si>
  <si>
    <t>Temporary</t>
  </si>
  <si>
    <t>B. Full-time Regular Employees</t>
  </si>
  <si>
    <t>C. Total (All ledgers)</t>
  </si>
  <si>
    <t>Includes all regular and PATFA temporary employees, both full-time and part-time, paid from all funding sources.</t>
  </si>
  <si>
    <t>This is a measure of the full-timeness of all employees, e.g., a full-time employee is 1.0 FTE while a half-time employee is 0.5 FTE.</t>
  </si>
  <si>
    <t>Programming and processing revisions in 2015 and 2016 resulted in FTE numbers reported lower than actual, particularly in faculty numbers.</t>
  </si>
  <si>
    <t>Includes all employees paid from E&amp;G funds - employees associated with the primary mission and supported primarily</t>
  </si>
  <si>
    <t xml:space="preserve">   by the State appropriation and tuition &amp; fee revenue. Also includes employees paid from funding sources MAFES and CE (both restricted </t>
  </si>
  <si>
    <t xml:space="preserve">   and unrestricted sources), designated, and unrestricted projects.</t>
  </si>
  <si>
    <t>Includes employees paid from Auxiliary Enterprise and Restricted funds.</t>
  </si>
  <si>
    <t>Office of Human Resources</t>
  </si>
  <si>
    <t>UNIVERSITY OF MAINE SYSTEM - HUMAN RESOURCE STATISTICS</t>
  </si>
  <si>
    <t>UMA</t>
  </si>
  <si>
    <t>UMF</t>
  </si>
  <si>
    <t>Professional</t>
  </si>
  <si>
    <t>UMFK</t>
  </si>
  <si>
    <t>UMM</t>
  </si>
  <si>
    <t>UMPI</t>
  </si>
  <si>
    <t>The Maine School of Law</t>
  </si>
  <si>
    <t>USM</t>
  </si>
  <si>
    <t>UNIVERSITY GOVERNANCE</t>
  </si>
  <si>
    <t>UNIVERSITY SERVICES</t>
  </si>
  <si>
    <t>UMS Governance &amp; Univ Services</t>
  </si>
  <si>
    <t>SYSTEM TOTAL</t>
  </si>
  <si>
    <t>University of Maine System</t>
  </si>
  <si>
    <t>UMS-OHR</t>
  </si>
  <si>
    <t>Employee Headcount Report</t>
  </si>
  <si>
    <t>10/31/19</t>
  </si>
  <si>
    <t>10/31/20</t>
  </si>
  <si>
    <t>10/31/21</t>
  </si>
  <si>
    <t>Metric</t>
  </si>
  <si>
    <t>10/31/17</t>
  </si>
  <si>
    <t>10/31/18</t>
  </si>
  <si>
    <r>
      <t>I. Total Headcount Employees (All ledgers)</t>
    </r>
    <r>
      <rPr>
        <b/>
        <vertAlign val="superscript"/>
        <sz val="12"/>
        <rFont val="Arial"/>
        <family val="2"/>
      </rPr>
      <t>1</t>
    </r>
  </si>
  <si>
    <r>
      <t xml:space="preserve">YoY </t>
    </r>
    <r>
      <rPr>
        <b/>
        <sz val="12"/>
        <color theme="0"/>
        <rFont val="Symbol"/>
        <family val="1"/>
        <charset val="2"/>
      </rPr>
      <t>D</t>
    </r>
    <r>
      <rPr>
        <b/>
        <sz val="12"/>
        <color theme="0"/>
        <rFont val="Arial"/>
        <family val="2"/>
      </rPr>
      <t>#</t>
    </r>
  </si>
  <si>
    <r>
      <t xml:space="preserve">YoY </t>
    </r>
    <r>
      <rPr>
        <b/>
        <sz val="12"/>
        <color theme="0"/>
        <rFont val="Symbol"/>
        <family val="1"/>
        <charset val="2"/>
      </rPr>
      <t>D</t>
    </r>
    <r>
      <rPr>
        <b/>
        <sz val="12"/>
        <color theme="0"/>
        <rFont val="Arial"/>
        <family val="2"/>
      </rPr>
      <t>%</t>
    </r>
  </si>
  <si>
    <r>
      <t>II. Full-time Equivalent Employees</t>
    </r>
    <r>
      <rPr>
        <b/>
        <vertAlign val="superscript"/>
        <sz val="12"/>
        <rFont val="Arial"/>
        <family val="2"/>
      </rPr>
      <t>2</t>
    </r>
  </si>
  <si>
    <r>
      <t>A. Educational &amp; General (E&amp;G)</t>
    </r>
    <r>
      <rPr>
        <b/>
        <vertAlign val="superscript"/>
        <sz val="12"/>
        <rFont val="Arial"/>
        <family val="2"/>
      </rPr>
      <t>3</t>
    </r>
  </si>
  <si>
    <r>
      <t>B. Non-E&amp;G</t>
    </r>
    <r>
      <rPr>
        <b/>
        <vertAlign val="superscript"/>
        <sz val="12"/>
        <rFont val="Arial"/>
        <family val="2"/>
      </rPr>
      <t>4</t>
    </r>
  </si>
  <si>
    <t>10/31/22</t>
  </si>
  <si>
    <t>10/31/23</t>
  </si>
  <si>
    <t>Susan Spencer, HRIS Analyst</t>
  </si>
  <si>
    <t>Kelly Zuras, Associate HRIS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</si>
</sst>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_);\(0.0%\)"/>
    <numFmt numFmtId="165" formatCode="m/d/yy;@"/>
    <numFmt numFmtId="167" formatCode="_(* #,##0_);_(* \(#,##0\);_(* &quot;-&quot;??_);_(@_)"/>
    <numFmt numFmtId="168" formatCode="0_);\(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Symbol"/>
      <family val="1"/>
      <charset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8"/>
      <color theme="4" tint="-0.249977111117893"/>
      <name val="Arial Unicode MS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79">
    <xf numFmtId="0" fontId="0" fillId="0" borderId="0" xfId="0"/>
    <xf numFmtId="0" fontId="3" fillId="0" borderId="0" xfId="3"/>
    <xf numFmtId="0" fontId="3" fillId="0" borderId="1" xfId="3" applyBorder="1"/>
    <xf numFmtId="0" fontId="3" fillId="2" borderId="0" xfId="3" applyFill="1"/>
    <xf numFmtId="0" fontId="3" fillId="0" borderId="2" xfId="3" applyBorder="1"/>
    <xf numFmtId="14" fontId="3" fillId="0" borderId="0" xfId="3" applyNumberFormat="1"/>
    <xf numFmtId="0" fontId="3" fillId="0" borderId="0" xfId="3" applyAlignment="1">
      <alignment horizontal="right"/>
    </xf>
    <xf numFmtId="0" fontId="4" fillId="0" borderId="0" xfId="2" applyFont="1" applyBorder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3" fontId="4" fillId="0" borderId="0" xfId="2" applyNumberFormat="1" applyFont="1" applyBorder="1"/>
    <xf numFmtId="3" fontId="4" fillId="0" borderId="0" xfId="2" applyNumberFormat="1" applyFont="1" applyBorder="1" applyAlignment="1">
      <alignment horizontal="center"/>
    </xf>
    <xf numFmtId="0" fontId="6" fillId="0" borderId="0" xfId="2" applyFont="1" applyBorder="1"/>
    <xf numFmtId="3" fontId="4" fillId="0" borderId="0" xfId="2" applyNumberFormat="1" applyFont="1" applyFill="1" applyBorder="1"/>
    <xf numFmtId="3" fontId="4" fillId="0" borderId="0" xfId="2" applyNumberFormat="1" applyFont="1" applyFill="1" applyBorder="1" applyAlignment="1"/>
    <xf numFmtId="164" fontId="4" fillId="0" borderId="0" xfId="2" applyNumberFormat="1" applyFont="1" applyFill="1" applyBorder="1"/>
    <xf numFmtId="0" fontId="5" fillId="0" borderId="0" xfId="2" applyFont="1" applyBorder="1"/>
    <xf numFmtId="0" fontId="8" fillId="3" borderId="3" xfId="2" applyFont="1" applyFill="1" applyBorder="1"/>
    <xf numFmtId="165" fontId="8" fillId="3" borderId="4" xfId="2" applyNumberFormat="1" applyFont="1" applyFill="1" applyBorder="1" applyAlignment="1">
      <alignment horizontal="center"/>
    </xf>
    <xf numFmtId="49" fontId="8" fillId="3" borderId="4" xfId="2" applyNumberFormat="1" applyFont="1" applyFill="1" applyBorder="1" applyAlignment="1">
      <alignment horizontal="center"/>
    </xf>
    <xf numFmtId="3" fontId="8" fillId="3" borderId="4" xfId="2" applyNumberFormat="1" applyFont="1" applyFill="1" applyBorder="1" applyAlignment="1">
      <alignment horizontal="center"/>
    </xf>
    <xf numFmtId="164" fontId="8" fillId="3" borderId="5" xfId="2" applyNumberFormat="1" applyFont="1" applyFill="1" applyBorder="1" applyAlignment="1">
      <alignment horizontal="center"/>
    </xf>
    <xf numFmtId="37" fontId="4" fillId="0" borderId="0" xfId="2" applyNumberFormat="1" applyFont="1" applyFill="1" applyBorder="1" applyAlignment="1"/>
    <xf numFmtId="0" fontId="4" fillId="0" borderId="0" xfId="2" applyFont="1" applyFill="1" applyBorder="1"/>
    <xf numFmtId="0" fontId="4" fillId="0" borderId="0" xfId="2" applyFont="1" applyFill="1" applyBorder="1" applyAlignment="1"/>
    <xf numFmtId="1" fontId="4" fillId="0" borderId="0" xfId="2" applyNumberFormat="1" applyFont="1" applyFill="1" applyBorder="1"/>
    <xf numFmtId="167" fontId="4" fillId="0" borderId="0" xfId="1" applyNumberFormat="1" applyFont="1" applyFill="1" applyBorder="1"/>
    <xf numFmtId="1" fontId="4" fillId="0" borderId="0" xfId="2" applyNumberFormat="1" applyFont="1" applyBorder="1"/>
    <xf numFmtId="167" fontId="4" fillId="0" borderId="0" xfId="2" applyNumberFormat="1" applyFont="1" applyBorder="1"/>
    <xf numFmtId="37" fontId="10" fillId="0" borderId="0" xfId="0" applyNumberFormat="1" applyFont="1"/>
    <xf numFmtId="0" fontId="4" fillId="0" borderId="0" xfId="2" applyFont="1" applyBorder="1" applyAlignment="1"/>
    <xf numFmtId="17" fontId="4" fillId="0" borderId="0" xfId="2" applyNumberFormat="1" applyFont="1" applyBorder="1" applyAlignment="1"/>
    <xf numFmtId="3" fontId="4" fillId="0" borderId="0" xfId="2" applyNumberFormat="1" applyFont="1" applyFill="1" applyBorder="1" applyAlignment="1">
      <alignment horizontal="center"/>
    </xf>
    <xf numFmtId="0" fontId="8" fillId="3" borderId="0" xfId="2" applyFont="1" applyFill="1" applyBorder="1"/>
    <xf numFmtId="165" fontId="8" fillId="3" borderId="0" xfId="2" applyNumberFormat="1" applyFont="1" applyFill="1" applyBorder="1" applyAlignment="1">
      <alignment horizontal="center"/>
    </xf>
    <xf numFmtId="49" fontId="8" fillId="3" borderId="0" xfId="2" applyNumberFormat="1" applyFont="1" applyFill="1" applyBorder="1" applyAlignment="1">
      <alignment horizontal="center"/>
    </xf>
    <xf numFmtId="3" fontId="8" fillId="3" borderId="0" xfId="2" applyNumberFormat="1" applyFont="1" applyFill="1" applyBorder="1" applyAlignment="1">
      <alignment horizontal="center"/>
    </xf>
    <xf numFmtId="164" fontId="8" fillId="3" borderId="0" xfId="2" applyNumberFormat="1" applyFont="1" applyFill="1" applyBorder="1" applyAlignment="1">
      <alignment horizontal="center"/>
    </xf>
    <xf numFmtId="3" fontId="4" fillId="0" borderId="0" xfId="2" applyNumberFormat="1" applyFont="1" applyBorder="1" applyAlignment="1"/>
    <xf numFmtId="167" fontId="4" fillId="0" borderId="0" xfId="2" applyNumberFormat="1" applyFont="1" applyFill="1" applyBorder="1"/>
    <xf numFmtId="0" fontId="4" fillId="0" borderId="0" xfId="2" applyFont="1"/>
    <xf numFmtId="0" fontId="6" fillId="0" borderId="0" xfId="2" applyFont="1" applyFill="1" applyBorder="1"/>
    <xf numFmtId="0" fontId="5" fillId="0" borderId="0" xfId="2" applyFont="1" applyFill="1" applyBorder="1"/>
    <xf numFmtId="0" fontId="5" fillId="0" borderId="0" xfId="2" applyFont="1" applyBorder="1" applyAlignment="1">
      <alignment horizontal="centerContinuous"/>
    </xf>
    <xf numFmtId="3" fontId="5" fillId="0" borderId="0" xfId="2" applyNumberFormat="1" applyFont="1" applyBorder="1"/>
    <xf numFmtId="1" fontId="4" fillId="0" borderId="0" xfId="1" applyNumberFormat="1" applyFont="1" applyFill="1" applyBorder="1"/>
    <xf numFmtId="1" fontId="10" fillId="0" borderId="0" xfId="0" applyNumberFormat="1" applyFont="1"/>
    <xf numFmtId="3" fontId="4" fillId="0" borderId="0" xfId="2" applyNumberFormat="1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0" fontId="4" fillId="0" borderId="0" xfId="2" applyFont="1" applyAlignment="1"/>
    <xf numFmtId="3" fontId="4" fillId="0" borderId="0" xfId="2" applyNumberFormat="1" applyFont="1" applyFill="1" applyBorder="1" applyAlignment="1">
      <alignment wrapText="1"/>
    </xf>
    <xf numFmtId="3" fontId="4" fillId="0" borderId="0" xfId="2" applyNumberFormat="1" applyFont="1" applyFill="1" applyBorder="1" applyAlignment="1">
      <alignment horizontal="centerContinuous"/>
    </xf>
    <xf numFmtId="164" fontId="4" fillId="0" borderId="0" xfId="2" applyNumberFormat="1" applyFont="1" applyFill="1" applyBorder="1" applyAlignment="1">
      <alignment horizontal="centerContinuous"/>
    </xf>
    <xf numFmtId="3" fontId="11" fillId="0" borderId="0" xfId="2" applyNumberFormat="1" applyFont="1" applyFill="1" applyBorder="1"/>
    <xf numFmtId="3" fontId="4" fillId="0" borderId="0" xfId="1" applyNumberFormat="1" applyFont="1" applyFill="1" applyBorder="1"/>
    <xf numFmtId="3" fontId="10" fillId="0" borderId="0" xfId="0" applyNumberFormat="1" applyFont="1"/>
    <xf numFmtId="0" fontId="4" fillId="0" borderId="0" xfId="2" applyNumberFormat="1" applyFont="1" applyFill="1" applyBorder="1" applyAlignment="1"/>
    <xf numFmtId="3" fontId="10" fillId="0" borderId="0" xfId="2" applyNumberFormat="1" applyFont="1" applyFill="1" applyBorder="1"/>
    <xf numFmtId="3" fontId="10" fillId="0" borderId="0" xfId="2" applyNumberFormat="1" applyFont="1" applyFill="1" applyBorder="1" applyAlignment="1"/>
    <xf numFmtId="1" fontId="4" fillId="0" borderId="0" xfId="1" applyNumberFormat="1" applyFont="1" applyFill="1" applyBorder="1" applyAlignment="1"/>
    <xf numFmtId="1" fontId="10" fillId="0" borderId="0" xfId="2" applyNumberFormat="1" applyFont="1" applyFill="1" applyBorder="1"/>
    <xf numFmtId="1" fontId="10" fillId="0" borderId="0" xfId="2" applyNumberFormat="1" applyFont="1" applyFill="1" applyBorder="1" applyAlignment="1"/>
    <xf numFmtId="1" fontId="4" fillId="0" borderId="0" xfId="2" applyNumberFormat="1" applyFont="1" applyFill="1" applyBorder="1" applyAlignment="1"/>
    <xf numFmtId="1" fontId="4" fillId="0" borderId="0" xfId="0" applyNumberFormat="1" applyFont="1"/>
    <xf numFmtId="0" fontId="4" fillId="0" borderId="0" xfId="2" applyFont="1" applyBorder="1" applyAlignment="1">
      <alignment horizontal="right"/>
    </xf>
    <xf numFmtId="4" fontId="4" fillId="0" borderId="0" xfId="2" applyNumberFormat="1" applyFont="1" applyBorder="1"/>
    <xf numFmtId="0" fontId="14" fillId="0" borderId="0" xfId="2" applyFont="1" applyBorder="1"/>
    <xf numFmtId="4" fontId="4" fillId="0" borderId="0" xfId="2" applyNumberFormat="1" applyFont="1" applyFill="1" applyBorder="1"/>
    <xf numFmtId="0" fontId="4" fillId="0" borderId="0" xfId="0" applyFont="1"/>
    <xf numFmtId="37" fontId="4" fillId="0" borderId="0" xfId="0" applyNumberFormat="1" applyFont="1"/>
    <xf numFmtId="164" fontId="4" fillId="0" borderId="0" xfId="0" applyNumberFormat="1" applyFont="1"/>
    <xf numFmtId="0" fontId="5" fillId="0" borderId="0" xfId="2" applyFont="1"/>
    <xf numFmtId="168" fontId="4" fillId="0" borderId="0" xfId="2" applyNumberFormat="1" applyFont="1" applyFill="1" applyBorder="1"/>
    <xf numFmtId="168" fontId="4" fillId="0" borderId="0" xfId="1" applyNumberFormat="1" applyFont="1" applyFill="1" applyBorder="1"/>
    <xf numFmtId="0" fontId="12" fillId="0" borderId="2" xfId="3" applyFont="1" applyBorder="1" applyAlignment="1">
      <alignment horizontal="center"/>
    </xf>
    <xf numFmtId="15" fontId="12" fillId="0" borderId="1" xfId="3" applyNumberFormat="1" applyFont="1" applyBorder="1" applyAlignment="1">
      <alignment horizontal="center"/>
    </xf>
    <xf numFmtId="37" fontId="4" fillId="0" borderId="0" xfId="1" applyNumberFormat="1" applyFont="1" applyFill="1" applyBorder="1"/>
    <xf numFmtId="37" fontId="2" fillId="0" borderId="0" xfId="2" applyNumberFormat="1" applyFill="1" applyBorder="1"/>
  </cellXfs>
  <cellStyles count="4">
    <cellStyle name="Comma" xfId="1" builtinId="3"/>
    <cellStyle name="Normal" xfId="0" builtinId="0"/>
    <cellStyle name="Normal 2" xfId="2" xr:uid="{00000000-0005-0000-0000-000002000000}"/>
    <cellStyle name="Normal 32 2" xfId="3" xr:uid="{00000000-0005-0000-0000-000003000000}"/>
  </cellStyles>
  <dxfs count="12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strike val="0"/>
        <outline val="0"/>
        <shadow val="0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_);\(0.0%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_);\(0.0%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sz val="12"/>
      </font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sz val="12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strike val="0"/>
        <outline val="0"/>
        <shadow val="0"/>
        <sz val="12"/>
      </font>
      <numFmt numFmtId="165" formatCode="m/d/yy;@"/>
      <fill>
        <patternFill patternType="none">
          <fgColor rgb="FF000000"/>
          <bgColor rgb="FFFFFFFF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%_);\(0.0%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m/d/yy;@"/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m/d/yy;@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3</xdr:row>
      <xdr:rowOff>57150</xdr:rowOff>
    </xdr:from>
    <xdr:to>
      <xdr:col>7</xdr:col>
      <xdr:colOff>491033</xdr:colOff>
      <xdr:row>12</xdr:row>
      <xdr:rowOff>152175</xdr:rowOff>
    </xdr:to>
    <xdr:pic>
      <xdr:nvPicPr>
        <xdr:cNvPr id="2" name="Picture 1" descr="University of Maine Syste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638175"/>
          <a:ext cx="3657143" cy="189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576253</xdr:colOff>
      <xdr:row>5</xdr:row>
      <xdr:rowOff>169333</xdr:rowOff>
    </xdr:from>
    <xdr:to>
      <xdr:col>15</xdr:col>
      <xdr:colOff>517301</xdr:colOff>
      <xdr:row>9</xdr:row>
      <xdr:rowOff>146472</xdr:rowOff>
    </xdr:to>
    <xdr:pic>
      <xdr:nvPicPr>
        <xdr:cNvPr id="2" name="Picture 1" descr="University of Maine logo&#10;&#10;">
          <a:extLst>
            <a:ext uri="{FF2B5EF4-FFF2-40B4-BE49-F238E27FC236}">
              <a16:creationId xmlns:a16="http://schemas.microsoft.com/office/drawing/2014/main" id="{02A280C4-7AB7-41F5-A95F-C554AC91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8078" y="1017058"/>
          <a:ext cx="1998448" cy="809624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81</xdr:row>
      <xdr:rowOff>3175</xdr:rowOff>
    </xdr:from>
    <xdr:to>
      <xdr:col>15</xdr:col>
      <xdr:colOff>529803</xdr:colOff>
      <xdr:row>84</xdr:row>
      <xdr:rowOff>44077</xdr:rowOff>
    </xdr:to>
    <xdr:pic>
      <xdr:nvPicPr>
        <xdr:cNvPr id="3" name="Picture 2" descr="University of Maine at Augusta logo">
          <a:extLst>
            <a:ext uri="{FF2B5EF4-FFF2-40B4-BE49-F238E27FC236}">
              <a16:creationId xmlns:a16="http://schemas.microsoft.com/office/drawing/2014/main" id="{1CEF887E-CA25-4FEC-A5BC-0337B5E24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2875" y="15643225"/>
          <a:ext cx="1801284" cy="665742"/>
        </a:xfrm>
        <a:prstGeom prst="rect">
          <a:avLst/>
        </a:prstGeom>
      </xdr:spPr>
    </xdr:pic>
    <xdr:clientData/>
  </xdr:twoCellAnchor>
  <xdr:twoCellAnchor editAs="oneCell">
    <xdr:from>
      <xdr:col>12</xdr:col>
      <xdr:colOff>632579</xdr:colOff>
      <xdr:row>156</xdr:row>
      <xdr:rowOff>21166</xdr:rowOff>
    </xdr:from>
    <xdr:to>
      <xdr:col>15</xdr:col>
      <xdr:colOff>548640</xdr:colOff>
      <xdr:row>158</xdr:row>
      <xdr:rowOff>194098</xdr:rowOff>
    </xdr:to>
    <xdr:pic>
      <xdr:nvPicPr>
        <xdr:cNvPr id="4" name="Picture 3" descr="University of Maine at Farmington logo">
          <a:extLst>
            <a:ext uri="{FF2B5EF4-FFF2-40B4-BE49-F238E27FC236}">
              <a16:creationId xmlns:a16="http://schemas.microsoft.com/office/drawing/2014/main" id="{7203E104-A859-4179-90CA-DC02B2F6F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14404" y="30224941"/>
          <a:ext cx="1967746" cy="557742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222251</xdr:colOff>
      <xdr:row>231</xdr:row>
      <xdr:rowOff>190502</xdr:rowOff>
    </xdr:from>
    <xdr:to>
      <xdr:col>15</xdr:col>
      <xdr:colOff>559226</xdr:colOff>
      <xdr:row>235</xdr:row>
      <xdr:rowOff>26340</xdr:rowOff>
    </xdr:to>
    <xdr:pic>
      <xdr:nvPicPr>
        <xdr:cNvPr id="5" name="Picture 4" descr="University of Maine at Fort Kent logo">
          <a:extLst>
            <a:ext uri="{FF2B5EF4-FFF2-40B4-BE49-F238E27FC236}">
              <a16:creationId xmlns:a16="http://schemas.microsoft.com/office/drawing/2014/main" id="{D97719BD-705A-4AD7-8465-3FF4F16E7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80351" y="44958002"/>
          <a:ext cx="1701801" cy="659645"/>
        </a:xfrm>
        <a:prstGeom prst="rect">
          <a:avLst/>
        </a:prstGeom>
      </xdr:spPr>
    </xdr:pic>
    <xdr:clientData/>
  </xdr:twoCellAnchor>
  <xdr:twoCellAnchor editAs="oneCell">
    <xdr:from>
      <xdr:col>12</xdr:col>
      <xdr:colOff>127000</xdr:colOff>
      <xdr:row>382</xdr:row>
      <xdr:rowOff>190499</xdr:rowOff>
    </xdr:from>
    <xdr:to>
      <xdr:col>15</xdr:col>
      <xdr:colOff>509599</xdr:colOff>
      <xdr:row>385</xdr:row>
      <xdr:rowOff>144071</xdr:rowOff>
    </xdr:to>
    <xdr:pic>
      <xdr:nvPicPr>
        <xdr:cNvPr id="6" name="Picture 5" descr="University of Maine at Presque Isle logo">
          <a:extLst>
            <a:ext uri="{FF2B5EF4-FFF2-40B4-BE49-F238E27FC236}">
              <a16:creationId xmlns:a16="http://schemas.microsoft.com/office/drawing/2014/main" id="{255AD576-A220-41EC-A5F6-D87EB026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08825" y="74399774"/>
          <a:ext cx="2438094" cy="574602"/>
        </a:xfrm>
        <a:prstGeom prst="rect">
          <a:avLst/>
        </a:prstGeom>
      </xdr:spPr>
    </xdr:pic>
    <xdr:clientData/>
  </xdr:twoCellAnchor>
  <xdr:twoCellAnchor editAs="oneCell">
    <xdr:from>
      <xdr:col>13</xdr:col>
      <xdr:colOff>66278</xdr:colOff>
      <xdr:row>457</xdr:row>
      <xdr:rowOff>0</xdr:rowOff>
    </xdr:from>
    <xdr:to>
      <xdr:col>15</xdr:col>
      <xdr:colOff>401109</xdr:colOff>
      <xdr:row>460</xdr:row>
      <xdr:rowOff>148801</xdr:rowOff>
    </xdr:to>
    <xdr:pic>
      <xdr:nvPicPr>
        <xdr:cNvPr id="7" name="Picture 6" descr="University of Maine School of Law logo">
          <a:extLst>
            <a:ext uri="{FF2B5EF4-FFF2-40B4-BE49-F238E27FC236}">
              <a16:creationId xmlns:a16="http://schemas.microsoft.com/office/drawing/2014/main" id="{936C5B6A-9757-4FE0-AD49-8D4A07FE2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24378" y="88792050"/>
          <a:ext cx="1695847" cy="773641"/>
        </a:xfrm>
        <a:prstGeom prst="rect">
          <a:avLst/>
        </a:prstGeom>
      </xdr:spPr>
    </xdr:pic>
    <xdr:clientData/>
  </xdr:twoCellAnchor>
  <xdr:twoCellAnchor editAs="oneCell">
    <xdr:from>
      <xdr:col>13</xdr:col>
      <xdr:colOff>179916</xdr:colOff>
      <xdr:row>531</xdr:row>
      <xdr:rowOff>176855</xdr:rowOff>
    </xdr:from>
    <xdr:to>
      <xdr:col>15</xdr:col>
      <xdr:colOff>443540</xdr:colOff>
      <xdr:row>535</xdr:row>
      <xdr:rowOff>154823</xdr:rowOff>
    </xdr:to>
    <xdr:pic>
      <xdr:nvPicPr>
        <xdr:cNvPr id="8" name="Picture 7" descr="University of Southern Maine logo">
          <a:extLst>
            <a:ext uri="{FF2B5EF4-FFF2-40B4-BE49-F238E27FC236}">
              <a16:creationId xmlns:a16="http://schemas.microsoft.com/office/drawing/2014/main" id="{4B32AAED-215E-4A8D-A21F-C1104142E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38016" y="103351655"/>
          <a:ext cx="1628450" cy="797118"/>
        </a:xfrm>
        <a:prstGeom prst="rect">
          <a:avLst/>
        </a:prstGeom>
      </xdr:spPr>
    </xdr:pic>
    <xdr:clientData/>
  </xdr:twoCellAnchor>
  <xdr:twoCellAnchor editAs="oneCell">
    <xdr:from>
      <xdr:col>13</xdr:col>
      <xdr:colOff>243417</xdr:colOff>
      <xdr:row>606</xdr:row>
      <xdr:rowOff>166678</xdr:rowOff>
    </xdr:from>
    <xdr:to>
      <xdr:col>15</xdr:col>
      <xdr:colOff>414444</xdr:colOff>
      <xdr:row>610</xdr:row>
      <xdr:rowOff>116416</xdr:rowOff>
    </xdr:to>
    <xdr:pic>
      <xdr:nvPicPr>
        <xdr:cNvPr id="9" name="Picture 8" descr="University of Maine System logo">
          <a:extLst>
            <a:ext uri="{FF2B5EF4-FFF2-40B4-BE49-F238E27FC236}">
              <a16:creationId xmlns:a16="http://schemas.microsoft.com/office/drawing/2014/main" id="{71223474-F5B3-4E4A-B2F3-0328257A2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01517" y="117914728"/>
          <a:ext cx="1547283" cy="768888"/>
        </a:xfrm>
        <a:prstGeom prst="rect">
          <a:avLst/>
        </a:prstGeom>
      </xdr:spPr>
    </xdr:pic>
    <xdr:clientData/>
  </xdr:twoCellAnchor>
  <xdr:twoCellAnchor editAs="oneCell">
    <xdr:from>
      <xdr:col>13</xdr:col>
      <xdr:colOff>243417</xdr:colOff>
      <xdr:row>682</xdr:row>
      <xdr:rowOff>0</xdr:rowOff>
    </xdr:from>
    <xdr:to>
      <xdr:col>15</xdr:col>
      <xdr:colOff>414444</xdr:colOff>
      <xdr:row>685</xdr:row>
      <xdr:rowOff>150822</xdr:rowOff>
    </xdr:to>
    <xdr:pic>
      <xdr:nvPicPr>
        <xdr:cNvPr id="10" name="Picture 9" descr="University of Maine System logo">
          <a:extLst>
            <a:ext uri="{FF2B5EF4-FFF2-40B4-BE49-F238E27FC236}">
              <a16:creationId xmlns:a16="http://schemas.microsoft.com/office/drawing/2014/main" id="{13AEC9CF-3829-483D-8F0C-00BF9EB46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01517" y="132530850"/>
          <a:ext cx="1547283" cy="769947"/>
        </a:xfrm>
        <a:prstGeom prst="rect">
          <a:avLst/>
        </a:prstGeom>
      </xdr:spPr>
    </xdr:pic>
    <xdr:clientData/>
  </xdr:twoCellAnchor>
  <xdr:twoCellAnchor editAs="oneCell">
    <xdr:from>
      <xdr:col>13</xdr:col>
      <xdr:colOff>243417</xdr:colOff>
      <xdr:row>757</xdr:row>
      <xdr:rowOff>0</xdr:rowOff>
    </xdr:from>
    <xdr:to>
      <xdr:col>15</xdr:col>
      <xdr:colOff>414444</xdr:colOff>
      <xdr:row>760</xdr:row>
      <xdr:rowOff>129654</xdr:rowOff>
    </xdr:to>
    <xdr:pic>
      <xdr:nvPicPr>
        <xdr:cNvPr id="11" name="Picture 10" descr="University of Maine System logo">
          <a:extLst>
            <a:ext uri="{FF2B5EF4-FFF2-40B4-BE49-F238E27FC236}">
              <a16:creationId xmlns:a16="http://schemas.microsoft.com/office/drawing/2014/main" id="{4F3C23A7-3DBC-48D1-AA10-DA902A9B2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01517" y="147113625"/>
          <a:ext cx="1547283" cy="769946"/>
        </a:xfrm>
        <a:prstGeom prst="rect">
          <a:avLst/>
        </a:prstGeom>
      </xdr:spPr>
    </xdr:pic>
    <xdr:clientData/>
  </xdr:twoCellAnchor>
  <xdr:twoCellAnchor editAs="oneCell">
    <xdr:from>
      <xdr:col>13</xdr:col>
      <xdr:colOff>211667</xdr:colOff>
      <xdr:row>831</xdr:row>
      <xdr:rowOff>179917</xdr:rowOff>
    </xdr:from>
    <xdr:to>
      <xdr:col>15</xdr:col>
      <xdr:colOff>401109</xdr:colOff>
      <xdr:row>835</xdr:row>
      <xdr:rowOff>120765</xdr:rowOff>
    </xdr:to>
    <xdr:pic>
      <xdr:nvPicPr>
        <xdr:cNvPr id="12" name="Picture 11" descr="University of Maine System logo">
          <a:extLst>
            <a:ext uri="{FF2B5EF4-FFF2-40B4-BE49-F238E27FC236}">
              <a16:creationId xmlns:a16="http://schemas.microsoft.com/office/drawing/2014/main" id="{DF45AAF6-3951-4BC3-8A13-486AB9DF0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869767" y="161647717"/>
          <a:ext cx="1550458" cy="765713"/>
        </a:xfrm>
        <a:prstGeom prst="rect">
          <a:avLst/>
        </a:prstGeom>
      </xdr:spPr>
    </xdr:pic>
    <xdr:clientData/>
  </xdr:twoCellAnchor>
  <xdr:twoCellAnchor editAs="oneCell">
    <xdr:from>
      <xdr:col>12</xdr:col>
      <xdr:colOff>243414</xdr:colOff>
      <xdr:row>308</xdr:row>
      <xdr:rowOff>1</xdr:rowOff>
    </xdr:from>
    <xdr:to>
      <xdr:col>15</xdr:col>
      <xdr:colOff>541570</xdr:colOff>
      <xdr:row>310</xdr:row>
      <xdr:rowOff>184497</xdr:rowOff>
    </xdr:to>
    <xdr:pic>
      <xdr:nvPicPr>
        <xdr:cNvPr id="13" name="Picture 12" descr="University of Maine at Machias logo">
          <a:extLst>
            <a:ext uri="{FF2B5EF4-FFF2-40B4-BE49-F238E27FC236}">
              <a16:creationId xmlns:a16="http://schemas.microsoft.com/office/drawing/2014/main" id="{8EAB2CE0-AE2D-4FEB-B86F-E567DF40D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25239" y="59807476"/>
          <a:ext cx="2346031" cy="6074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D2D28324-CFA4-4296-BBEB-CF87E9121337}" name="Table562122" displayName="Table562122" ref="D12:Q25" totalsRowShown="0" headerRowDxfId="1234" dataDxfId="1233" headerRowCellStyle="Normal 2" dataCellStyle="Normal 2">
  <tableColumns count="14">
    <tableColumn id="1" xr3:uid="{E13A2900-75A4-44EC-B814-EE6FA6D74A45}" name="Metric" dataDxfId="1232" dataCellStyle="Normal 2"/>
    <tableColumn id="3" xr3:uid="{8C424E0F-7F21-4B82-AD74-D9BFE02E660B}" name="10/31/13" dataDxfId="1231" dataCellStyle="Normal 2"/>
    <tableColumn id="4" xr3:uid="{1AAF1B31-E4DA-4B3E-BCCF-9B08C194B81E}" name="10/31/14" dataDxfId="1230" dataCellStyle="Normal 2"/>
    <tableColumn id="5" xr3:uid="{0495321A-6D84-4132-9F53-5C8C56C07DF2}" name="10/31/15" dataDxfId="1229" dataCellStyle="Normal 2"/>
    <tableColumn id="6" xr3:uid="{946CB36F-A492-4170-A835-D212E4CD0626}" name="10/31/16" dataDxfId="1228" dataCellStyle="Normal 2"/>
    <tableColumn id="7" xr3:uid="{E253FBA5-33C7-4EB5-90EF-C173FD2BC456}" name="10/31/17" dataDxfId="1227" dataCellStyle="Normal 2"/>
    <tableColumn id="8" xr3:uid="{E8501D2F-0744-4EEC-9BCE-0195BD350959}" name="10/31/18" dataDxfId="1226" dataCellStyle="Normal 2"/>
    <tableColumn id="9" xr3:uid="{4F172028-3BA9-480D-9FB8-E9C107C1F520}" name="10/31/19" dataDxfId="1225" dataCellStyle="Normal 2"/>
    <tableColumn id="10" xr3:uid="{E12608C2-A6EA-471A-AFED-BC2962972243}" name="10/31/20" dataDxfId="1224" dataCellStyle="Normal 2"/>
    <tableColumn id="11" xr3:uid="{5EBDEC7E-E2E8-4A46-8680-0014909F614C}" name="10/31/21" dataDxfId="1223" dataCellStyle="Normal 2"/>
    <tableColumn id="2" xr3:uid="{7053172F-D084-4D06-AC72-DACFC01E5EB9}" name="10/31/22" dataDxfId="1222" dataCellStyle="Normal 2"/>
    <tableColumn id="14" xr3:uid="{9BEE57A5-12E4-4B15-AFC6-29271A76984D}" name="10/31/23" dataDxfId="1221" dataCellStyle="Normal 2"/>
    <tableColumn id="12" xr3:uid="{D3CBE2D1-62E8-4F18-8A7D-4C1AA079493D}" name="YoY D#" dataDxfId="1220" dataCellStyle="Normal 2">
      <calculatedColumnFormula>M13-L13</calculatedColumnFormula>
    </tableColumn>
    <tableColumn id="13" xr3:uid="{0D36E1C6-FC94-41AE-A31B-0900FC01E4A6}" name="YoY D%" dataDxfId="1219" dataCellStyle="Normal 2">
      <calculatedColumnFormula>IF(M13&lt;&gt;0,P13/M13,"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otal Headcount Employees (All ledgers); A.  All Employe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52A0D519-F53F-4C02-A059-651B26204512}" name="Table1171131" displayName="Table1171131" ref="D162:Q174" totalsRowShown="0" headerRowDxfId="1082" dataDxfId="1080" headerRowBorderDxfId="1081" tableBorderDxfId="1079" headerRowCellStyle="Normal 2" dataCellStyle="Normal 2">
  <tableColumns count="14">
    <tableColumn id="1" xr3:uid="{791D64F1-8A63-4511-AB3D-AF6C26F3ECBC}" name="Metric" dataDxfId="1078" dataCellStyle="Normal 2"/>
    <tableColumn id="3" xr3:uid="{560DF130-8749-4CBB-A0AF-CE64AC952FF6}" name="10/31/13" dataDxfId="1077" dataCellStyle="Normal 2"/>
    <tableColumn id="4" xr3:uid="{1EAA0269-C48E-4063-9263-65BCEB02DD25}" name="10/31/14" dataDxfId="1076" dataCellStyle="Normal 2"/>
    <tableColumn id="5" xr3:uid="{5418DBE5-6621-434B-851E-0F9F2350E233}" name="10/31/15" dataDxfId="1075" dataCellStyle="Normal 2"/>
    <tableColumn id="6" xr3:uid="{11647FDE-02C1-4172-A1DC-9DE22DF06085}" name="10/31/16" dataDxfId="1074" dataCellStyle="Normal 2"/>
    <tableColumn id="7" xr3:uid="{88934380-2AEA-4C1D-B9D2-A58E8BB1026C}" name="10/31/17" dataDxfId="1073" dataCellStyle="Normal 2"/>
    <tableColumn id="8" xr3:uid="{7B1D767F-FA04-47CC-918C-587770BDA66F}" name="10/31/18" dataDxfId="1072" dataCellStyle="Normal 2"/>
    <tableColumn id="9" xr3:uid="{01DCC25A-9E25-4ACC-8635-634FF2D7860E}" name="10/31/19" dataDxfId="1071" dataCellStyle="Normal 2"/>
    <tableColumn id="10" xr3:uid="{441D49CB-17AE-4102-BCB5-CF2C9065F956}" name="10/31/20" dataDxfId="1070" dataCellStyle="Normal 2"/>
    <tableColumn id="11" xr3:uid="{CF1A8757-05E8-46A2-AFA9-7E1D08F91DC1}" name="10/31/21" dataDxfId="1069" dataCellStyle="Normal 2"/>
    <tableColumn id="2" xr3:uid="{CFEB425C-18C9-476C-91D5-2D6D20A5052C}" name="10/31/22" dataDxfId="1068" dataCellStyle="Normal 2"/>
    <tableColumn id="14" xr3:uid="{A0BAA2BC-72F7-44D0-9068-BA2D7FE3AF7E}" name="10/31/23" dataDxfId="1067" dataCellStyle="Normal 2"/>
    <tableColumn id="12" xr3:uid="{BC1489F1-1DAF-4C3D-89EB-3A3235366032}" name="YoY D#" dataDxfId="1066" dataCellStyle="Normal 2">
      <calculatedColumnFormula>N163-M163</calculatedColumnFormula>
    </tableColumn>
    <tableColumn id="13" xr3:uid="{D85C9C36-F941-4157-8512-168FBAA6557D}" name="YoY D%" dataDxfId="1065" dataCellStyle="Normal 2">
      <calculatedColumnFormula>IF(N163&lt;&gt;0,P163/N163,"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EE42B81B-A992-4D12-A7C8-99084D15D671}" name="Table1272132" displayName="Table1272132" ref="D177:Q182" totalsRowShown="0" headerRowDxfId="1064" dataDxfId="1062" headerRowBorderDxfId="1063" tableBorderDxfId="1061" headerRowCellStyle="Normal 2" dataCellStyle="Normal 2">
  <tableColumns count="14">
    <tableColumn id="1" xr3:uid="{DB476C25-56E5-4DC3-85F4-8C5831DE1581}" name="Metric" dataDxfId="1060" dataCellStyle="Normal 2"/>
    <tableColumn id="3" xr3:uid="{82D32AEF-57B6-4F1D-B122-2AF6C48D167C}" name="10/31/13" dataDxfId="1059" dataCellStyle="Normal 2"/>
    <tableColumn id="4" xr3:uid="{4B49650A-7E40-47DC-A37C-BB14D3C87BB9}" name="10/31/14" dataDxfId="1058" dataCellStyle="Normal 2"/>
    <tableColumn id="5" xr3:uid="{320CC95B-0A62-4131-977C-1AC8DC18FAED}" name="10/31/15" dataDxfId="1057" dataCellStyle="Normal 2"/>
    <tableColumn id="6" xr3:uid="{E131B5D6-B707-4F09-AB8D-CF975C6E4B9D}" name="10/31/16" dataDxfId="1056" dataCellStyle="Normal 2"/>
    <tableColumn id="7" xr3:uid="{60131C3A-7460-4AB3-9DC8-B57562493089}" name="10/31/17" dataDxfId="1055" dataCellStyle="Normal 2"/>
    <tableColumn id="8" xr3:uid="{7B206794-BA5D-479E-9226-DEFF967BF04B}" name="10/31/18" dataDxfId="1054" dataCellStyle="Normal 2"/>
    <tableColumn id="9" xr3:uid="{560E896C-4403-499B-B18D-AE401451137F}" name="10/31/19" dataDxfId="1053" dataCellStyle="Normal 2"/>
    <tableColumn id="10" xr3:uid="{B02B59CA-39F7-41FF-8A12-1F95D2CFE993}" name="10/31/20" dataDxfId="1052" dataCellStyle="Normal 2"/>
    <tableColumn id="11" xr3:uid="{24290AF9-42BD-4305-AEB5-57FA9F28A43E}" name="10/31/21" dataDxfId="1051" dataCellStyle="Normal 2"/>
    <tableColumn id="2" xr3:uid="{803FA75C-E9B4-4248-AF05-A662E6F2F1B3}" name="10/31/22" dataDxfId="1050" dataCellStyle="Normal 2"/>
    <tableColumn id="14" xr3:uid="{6A7AC7F8-F7AD-4841-8E6A-5715671E1D2D}" name="10/31/23" dataDxfId="1049" dataCellStyle="Normal 2"/>
    <tableColumn id="12" xr3:uid="{8B085CCF-F4EA-4F33-B975-674B7C50DB68}" name="YoY D#" dataDxfId="1048" dataCellStyle="Normal 2">
      <calculatedColumnFormula>O178-N178</calculatedColumnFormula>
    </tableColumn>
    <tableColumn id="13" xr3:uid="{FF3A9E1B-8D39-40B8-9CC4-5838622A7404}" name="YoY D%" dataDxfId="1047" dataCellStyle="Normal 2">
      <calculatedColumnFormula>IF(O178&lt;&gt;0,P178/O178,"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55073C1D-1B3C-4F22-9784-DD3CBCCF7D95}" name="Table1373133" displayName="Table1373133" ref="D188:Q193" totalsRowShown="0" headerRowDxfId="1046" dataDxfId="1044" headerRowBorderDxfId="1045" tableBorderDxfId="1043" headerRowCellStyle="Normal 2" dataCellStyle="Comma">
  <tableColumns count="14">
    <tableColumn id="1" xr3:uid="{1E1E54C2-8883-457F-8D3F-D6FC2CD9B45C}" name="Metric" dataDxfId="1042" dataCellStyle="Normal 2"/>
    <tableColumn id="3" xr3:uid="{62A02181-309D-4F25-B0F7-B9744155228A}" name="10/31/13" dataDxfId="1041" dataCellStyle="Normal 2"/>
    <tableColumn id="4" xr3:uid="{46DBF2C3-EBD8-4FEA-AF6E-29DAD1DAE250}" name="10/31/14" dataDxfId="1040" dataCellStyle="Normal 2"/>
    <tableColumn id="5" xr3:uid="{6C3C3C09-E217-425A-9389-ACC0F0D15044}" name="10/31/15" dataDxfId="1039" dataCellStyle="Normal 2"/>
    <tableColumn id="6" xr3:uid="{88002931-A9F0-4EB7-8088-D3E9317FEFD3}" name="10/31/16" dataDxfId="1038" dataCellStyle="Normal 2"/>
    <tableColumn id="7" xr3:uid="{07E6003C-8662-4903-9C40-6453FD2FFA29}" name="10/31/17" dataDxfId="1037" dataCellStyle="Normal 2"/>
    <tableColumn id="8" xr3:uid="{C35519B3-6445-4153-ADF4-DE39F8CDA5A3}" name="10/31/18" dataDxfId="1036" dataCellStyle="Comma"/>
    <tableColumn id="9" xr3:uid="{481D1177-AD56-4F7A-A8B5-A3503E2BDEF6}" name="10/31/19" dataDxfId="1035" dataCellStyle="Comma"/>
    <tableColumn id="10" xr3:uid="{EAAE6024-9AC6-4AEA-9858-22080A8A2F52}" name="10/31/20" dataDxfId="1034" dataCellStyle="Comma"/>
    <tableColumn id="11" xr3:uid="{AC19325F-6252-4F8D-AE82-0CAA1CB99CB1}" name="10/31/21" dataDxfId="1033" dataCellStyle="Comma"/>
    <tableColumn id="2" xr3:uid="{A78662BF-28BF-404B-9374-254B181846FA}" name="10/31/22" dataDxfId="1032" dataCellStyle="Comma"/>
    <tableColumn id="14" xr3:uid="{F06E07F6-2EBD-46D1-BCDF-5D2D6BB775C8}" name="10/31/23" dataDxfId="1031"/>
    <tableColumn id="12" xr3:uid="{EA3B76F9-55B5-498D-98D2-5649F45114C1}" name="YoY D#" dataDxfId="1030" dataCellStyle="Normal 2">
      <calculatedColumnFormula>O189-N189</calculatedColumnFormula>
    </tableColumn>
    <tableColumn id="13" xr3:uid="{7F897975-C62D-4C28-B192-5903AFA7FE72}" name="YoY D%" dataDxfId="1029" dataCellStyle="Normal 2">
      <calculatedColumnFormula>IF(O189&lt;&gt;0,P189/O189,"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204CD11C-AB5A-4272-8928-CD6AEF46B231}" name="Table1474134" displayName="Table1474134" ref="D196:Q201" totalsRowShown="0" headerRowDxfId="1028" dataDxfId="1026" headerRowBorderDxfId="1027" tableBorderDxfId="1025" headerRowCellStyle="Normal 2">
  <tableColumns count="14">
    <tableColumn id="1" xr3:uid="{060F209F-D2CC-4DA2-AB9A-E6FB39111955}" name="Metric" dataDxfId="1024" dataCellStyle="Normal 2"/>
    <tableColumn id="3" xr3:uid="{AA693925-9A3C-41F1-AC3B-3E32E47DB301}" name="10/31/13" dataDxfId="1023" dataCellStyle="Normal 2"/>
    <tableColumn id="4" xr3:uid="{6A70429E-B61F-4928-8C7B-BCA98F4C843E}" name="10/31/14" dataDxfId="1022" dataCellStyle="Normal 2"/>
    <tableColumn id="5" xr3:uid="{B4EF5D7B-A881-4997-B725-91DCD5AF2919}" name="10/31/15" dataDxfId="1021" dataCellStyle="Normal 2"/>
    <tableColumn id="6" xr3:uid="{0ECDF73C-65DF-4EDB-B418-B8B67C6609A5}" name="10/31/16" dataDxfId="1020" dataCellStyle="Normal 2"/>
    <tableColumn id="7" xr3:uid="{92D0219E-5993-4471-B37B-118AD40731DD}" name="10/31/17" dataDxfId="1019" dataCellStyle="Normal 2"/>
    <tableColumn id="8" xr3:uid="{51C4948B-6C05-4DF9-BB62-E03690155EAB}" name="10/31/18" dataDxfId="1018"/>
    <tableColumn id="9" xr3:uid="{65294D5D-2327-43F1-A08A-821B83BE0189}" name="10/31/19" dataDxfId="1017"/>
    <tableColumn id="10" xr3:uid="{8A525884-E7DE-43CF-9666-196A822B7474}" name="10/31/20" dataDxfId="1016"/>
    <tableColumn id="11" xr3:uid="{AFA22FB9-8E01-46B3-BACF-C8BD730550E7}" name="10/31/21" dataDxfId="1015"/>
    <tableColumn id="2" xr3:uid="{05A9C061-BECF-4836-82EA-17ABC932FBA8}" name="10/31/22" dataDxfId="1014"/>
    <tableColumn id="14" xr3:uid="{C677CCFA-79FE-4BC7-8EF6-5E2CFDA2C7FB}" name="10/31/23" dataDxfId="1013"/>
    <tableColumn id="12" xr3:uid="{B40AD53F-BD83-4A2D-ABDD-8A4F36E130C1}" name="YoY D#" dataDxfId="1012" dataCellStyle="Normal 2">
      <calculatedColumnFormula>O197-N197</calculatedColumnFormula>
    </tableColumn>
    <tableColumn id="13" xr3:uid="{01B3F57C-5FA4-4472-B417-1B7CBFF9D05B}" name="YoY D%" dataDxfId="1011" dataCellStyle="Normal 2">
      <calculatedColumnFormula>IF(O197&lt;&gt;0,P197/O197,"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BBB8CFA3-0D4B-4C67-9E48-CE1C7B45DEB6}" name="Table1575135" displayName="Table1575135" ref="D204:Q209" totalsRowShown="0" headerRowDxfId="1010" dataDxfId="1008" headerRowBorderDxfId="1009" tableBorderDxfId="1007" headerRowCellStyle="Normal 2" dataCellStyle="Normal 2">
  <tableColumns count="14">
    <tableColumn id="1" xr3:uid="{11182742-10DD-4AF5-BF66-2C5F7BE5D17C}" name="Metric" dataDxfId="1006" dataCellStyle="Normal 2"/>
    <tableColumn id="3" xr3:uid="{7CD65019-D50E-4862-AE7E-D365AE59B1ED}" name="10/31/13" dataDxfId="1005" dataCellStyle="Normal 2"/>
    <tableColumn id="4" xr3:uid="{8DB63241-EB0A-448D-929C-A74842462466}" name="10/31/14" dataDxfId="1004" dataCellStyle="Normal 2"/>
    <tableColumn id="5" xr3:uid="{4711F0BC-6E91-4D8B-B426-DF9DFFF6FD10}" name="10/31/15" dataDxfId="1003" dataCellStyle="Normal 2"/>
    <tableColumn id="6" xr3:uid="{68525F5B-11E9-485B-A2E7-176EF6028F35}" name="10/31/16" dataDxfId="1002" dataCellStyle="Normal 2"/>
    <tableColumn id="7" xr3:uid="{8DF71FBD-92C4-4DF2-8700-0AE8E1F0674F}" name="10/31/17" dataDxfId="1001" dataCellStyle="Normal 2"/>
    <tableColumn id="8" xr3:uid="{409471A6-8C72-44DA-B488-FCEB7A6BE2C2}" name="10/31/18" dataDxfId="1000" dataCellStyle="Normal 2"/>
    <tableColumn id="9" xr3:uid="{5E591C35-DED2-4D56-AC0B-69CE1F3DAF67}" name="10/31/19" dataDxfId="999" dataCellStyle="Normal 2"/>
    <tableColumn id="10" xr3:uid="{E2286B04-82BE-4077-96D9-9760CFFEC448}" name="10/31/20" dataDxfId="998" dataCellStyle="Normal 2"/>
    <tableColumn id="11" xr3:uid="{93A53496-B382-4FFB-A07A-282E0E80E324}" name="10/31/21" dataDxfId="997" dataCellStyle="Normal 2"/>
    <tableColumn id="2" xr3:uid="{F331F069-5061-4850-92D7-014764CC8F9F}" name="10/31/22" dataDxfId="996" dataCellStyle="Normal 2"/>
    <tableColumn id="14" xr3:uid="{11A75D67-F2F4-453E-8D28-37A342F1CD4E}" name="10/31/23" dataDxfId="995" dataCellStyle="Normal 2"/>
    <tableColumn id="12" xr3:uid="{AC8CEDDF-7665-4079-BB17-B2428233DF04}" name="YoY D#" dataDxfId="994" dataCellStyle="Normal 2">
      <calculatedColumnFormula>O205-N205</calculatedColumnFormula>
    </tableColumn>
    <tableColumn id="13" xr3:uid="{19ABA838-6AFC-4AF9-8639-F651AF66CB72}" name="YoY D%" dataDxfId="993" dataCellStyle="Normal 2">
      <calculatedColumnFormula>IF(O205&lt;&gt;0,P205/O205,"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D7A9A118-FD24-4FBC-8DA9-D9202E2E2E17}" name="Table1676136" displayName="Table1676136" ref="D238:Q250" totalsRowShown="0" headerRowDxfId="992" dataDxfId="990" headerRowBorderDxfId="991" tableBorderDxfId="989" headerRowCellStyle="Normal 2" dataCellStyle="Normal 2">
  <tableColumns count="14">
    <tableColumn id="1" xr3:uid="{2FF27128-F645-4671-9E26-40854A440FEB}" name="Metric" dataDxfId="988" dataCellStyle="Normal 2"/>
    <tableColumn id="3" xr3:uid="{68F04506-64C7-45B4-942B-77DFB2310635}" name="10/31/13" dataDxfId="987" dataCellStyle="Normal 2"/>
    <tableColumn id="4" xr3:uid="{36C7ED97-1D15-4730-9F33-F9292D4F7381}" name="10/31/14" dataDxfId="986" dataCellStyle="Normal 2"/>
    <tableColumn id="5" xr3:uid="{9CE77B92-BC86-46A0-A3FE-EAF5CF31749B}" name="10/31/15" dataDxfId="985" dataCellStyle="Normal 2"/>
    <tableColumn id="6" xr3:uid="{E9EE1ECE-E1F4-46C8-8494-79FB0B0DF8A1}" name="10/31/16" dataDxfId="984" dataCellStyle="Normal 2"/>
    <tableColumn id="7" xr3:uid="{E0D0630A-3B35-4E00-9B85-E5B8691CE828}" name="10/31/17" dataDxfId="983" dataCellStyle="Normal 2"/>
    <tableColumn id="8" xr3:uid="{139540F7-7FE9-4A70-A8A8-925128A14259}" name="10/31/18" dataDxfId="982" dataCellStyle="Normal 2"/>
    <tableColumn id="9" xr3:uid="{11819C04-2BCF-45CB-BB86-578CD63A4B00}" name="10/31/19" dataDxfId="981" dataCellStyle="Normal 2"/>
    <tableColumn id="10" xr3:uid="{E471B042-E720-419F-8E98-CC3DD5B816E9}" name="10/31/20" dataDxfId="980" dataCellStyle="Normal 2"/>
    <tableColumn id="11" xr3:uid="{CAB97AEE-EBBB-4BC0-93BC-4E33FD8B02D8}" name="10/31/21" dataDxfId="979" dataCellStyle="Normal 2"/>
    <tableColumn id="2" xr3:uid="{902DA2CD-23BC-4D08-A2DC-78DBAFA55CCB}" name="10/31/22" dataDxfId="978" dataCellStyle="Normal 2"/>
    <tableColumn id="14" xr3:uid="{816763C9-01F3-4238-B0E1-A2FE26A335BF}" name="10/31/23" dataDxfId="977" dataCellStyle="Normal 2"/>
    <tableColumn id="12" xr3:uid="{DA802B5A-DFA5-4F40-9BB6-FFBE549CCF2F}" name="YoY D#" dataDxfId="976" dataCellStyle="Normal 2">
      <calculatedColumnFormula>N239-M239</calculatedColumnFormula>
    </tableColumn>
    <tableColumn id="13" xr3:uid="{2B9FE14B-798F-42D8-917A-14DA272AB506}" name="YoY D%" dataDxfId="975" dataCellStyle="Normal 2">
      <calculatedColumnFormula>IF(N239&lt;&gt;0,P239/N239,"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5B3373A7-B9D0-4FDD-AD2D-ACD073C2D3FD}" name="Table1777137" displayName="Table1777137" ref="D253:Q258" totalsRowShown="0" headerRowDxfId="974" dataDxfId="972" headerRowBorderDxfId="973" tableBorderDxfId="971" headerRowCellStyle="Normal 2" dataCellStyle="Normal 2">
  <tableColumns count="14">
    <tableColumn id="1" xr3:uid="{AF342CCB-1D84-4A8F-88B7-DC66FF75F867}" name="Metric" dataDxfId="970" dataCellStyle="Normal 2"/>
    <tableColumn id="3" xr3:uid="{A3B02158-B514-4B60-8E10-38C890E0B10A}" name="10/31/13" dataDxfId="969" dataCellStyle="Normal 2"/>
    <tableColumn id="4" xr3:uid="{DE3176EF-729D-490F-8B40-3500C3192819}" name="10/31/14" dataDxfId="968" dataCellStyle="Normal 2"/>
    <tableColumn id="5" xr3:uid="{51122DEA-CC67-4C9C-AFF0-E2E04A2FAFD9}" name="10/31/15" dataDxfId="967" dataCellStyle="Normal 2"/>
    <tableColumn id="6" xr3:uid="{D6FF4F70-9B64-4826-8DD1-C35E3EDE1877}" name="10/31/16" dataDxfId="966" dataCellStyle="Normal 2"/>
    <tableColumn id="7" xr3:uid="{48A24580-0679-4BBB-85A6-8116B6F02A04}" name="10/31/17" dataDxfId="965" dataCellStyle="Normal 2"/>
    <tableColumn id="8" xr3:uid="{2B616176-8E09-4E68-A1DA-B104A2929429}" name="10/31/18" dataDxfId="964" dataCellStyle="Normal 2"/>
    <tableColumn id="9" xr3:uid="{66E5F7E9-82AA-44DE-8E50-A9F2E9E8027E}" name="10/31/19" dataDxfId="963" dataCellStyle="Normal 2"/>
    <tableColumn id="10" xr3:uid="{F29AA44C-C69D-4743-87B1-A15BFC70E195}" name="10/31/20" dataDxfId="962" dataCellStyle="Normal 2"/>
    <tableColumn id="11" xr3:uid="{77FD2D67-9012-4171-91C3-9E79AA3BD1F2}" name="10/31/21" dataDxfId="961" dataCellStyle="Normal 2"/>
    <tableColumn id="2" xr3:uid="{2874B00B-3525-4F12-8294-5C7A349BE7AF}" name="10/31/22" dataDxfId="960" dataCellStyle="Normal 2"/>
    <tableColumn id="14" xr3:uid="{E1078DF2-6200-46D1-A9A9-F1618CCF47B4}" name="10/31/23" dataDxfId="959" dataCellStyle="Normal 2"/>
    <tableColumn id="12" xr3:uid="{5D2B7D09-D703-4D0A-B0EA-7292C6D7DE8D}" name="YoY D#" dataDxfId="958" dataCellStyle="Normal 2">
      <calculatedColumnFormula>O254-N254</calculatedColumnFormula>
    </tableColumn>
    <tableColumn id="13" xr3:uid="{696F4A3F-DFCA-4796-B902-E0638A528AA8}" name="YoY D%" dataDxfId="957" dataCellStyle="Normal 2">
      <calculatedColumnFormula>IF(O254&lt;&gt;0,P254/O254,"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8977E377-9767-40E2-BA1F-266A10E30AB1}" name="Table1878138" displayName="Table1878138" ref="D264:Q269" totalsRowShown="0" headerRowDxfId="956" dataDxfId="954" headerRowBorderDxfId="955" tableBorderDxfId="953" headerRowCellStyle="Normal 2" dataCellStyle="Comma">
  <tableColumns count="14">
    <tableColumn id="1" xr3:uid="{C62A0210-3C84-4B2B-BAFF-A85F2DF02E0D}" name="Metric" dataDxfId="952" dataCellStyle="Normal 2"/>
    <tableColumn id="3" xr3:uid="{C7001FD3-A28D-40B6-B238-ADE581959877}" name="10/31/13" dataDxfId="951" dataCellStyle="Normal 2"/>
    <tableColumn id="4" xr3:uid="{3FDC87C7-09D9-4C13-B1FA-C2195D241BD0}" name="10/31/14" dataDxfId="950" dataCellStyle="Normal 2"/>
    <tableColumn id="5" xr3:uid="{0CE945AE-D956-49AC-BAB5-8DAF41768BEE}" name="10/31/15" dataDxfId="949" dataCellStyle="Normal 2"/>
    <tableColumn id="6" xr3:uid="{61ACE585-2584-4FF3-9DFD-4B36E3CE4503}" name="10/31/16" dataDxfId="948" dataCellStyle="Normal 2"/>
    <tableColumn id="7" xr3:uid="{3C4D6C08-91F7-450B-8678-E7DE877DC147}" name="10/31/17" dataDxfId="947" dataCellStyle="Normal 2"/>
    <tableColumn id="8" xr3:uid="{493A04B4-DA47-4C7D-BE57-FCC5B729CD36}" name="10/31/18" dataDxfId="946" dataCellStyle="Comma"/>
    <tableColumn id="9" xr3:uid="{3E86E304-19A2-4FF3-B3FA-FA54362EE5FD}" name="10/31/19" dataDxfId="945" dataCellStyle="Comma"/>
    <tableColumn id="10" xr3:uid="{0DB558F8-084C-42CF-B9EA-44C26FF76F02}" name="10/31/20" dataDxfId="944" dataCellStyle="Comma"/>
    <tableColumn id="11" xr3:uid="{58C1069C-4B1B-4355-9E3F-3A75901AF720}" name="10/31/21" dataDxfId="943" dataCellStyle="Comma"/>
    <tableColumn id="2" xr3:uid="{F138CF9D-8AE1-4474-9161-66086C3F160A}" name="10/31/22" dataDxfId="942" dataCellStyle="Comma"/>
    <tableColumn id="14" xr3:uid="{048FD426-5C1F-4374-8B61-2F4206BA353E}" name="10/31/23" dataDxfId="941" dataCellStyle="Comma"/>
    <tableColumn id="12" xr3:uid="{E94F1906-2BA0-47BE-A98F-07BD1FA1E56C}" name="YoY D#" dataDxfId="940" dataCellStyle="Normal 2">
      <calculatedColumnFormula>O265-N265</calculatedColumnFormula>
    </tableColumn>
    <tableColumn id="13" xr3:uid="{2CF660A2-E21C-46C3-A665-C37A9123AC0B}" name="YoY D%" dataDxfId="939" dataCellStyle="Normal 2">
      <calculatedColumnFormula>IF(O265&lt;&gt;0,P265/O265,"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BDDDC46F-6048-4A6C-BF43-82F2EFDE1E7F}" name="Table1979139" displayName="Table1979139" ref="D272:Q277" totalsRowShown="0" headerRowDxfId="938" dataDxfId="936" headerRowBorderDxfId="937" tableBorderDxfId="935" headerRowCellStyle="Normal 2">
  <tableColumns count="14">
    <tableColumn id="1" xr3:uid="{45B26874-4536-4771-89ED-AE626F85DE10}" name="Metric" dataDxfId="934" dataCellStyle="Normal 2"/>
    <tableColumn id="3" xr3:uid="{7B677E27-6F64-4B8C-80B2-E2B04F47454A}" name="10/31/13" dataDxfId="933" dataCellStyle="Normal 2"/>
    <tableColumn id="4" xr3:uid="{158E4C7F-FD17-4765-A6CF-2E59FB4CF168}" name="10/31/14" dataDxfId="932" dataCellStyle="Normal 2"/>
    <tableColumn id="5" xr3:uid="{789ACE23-8948-4C89-9261-4E2A753E69DD}" name="10/31/15" dataDxfId="931" dataCellStyle="Normal 2"/>
    <tableColumn id="6" xr3:uid="{7BA0AF3F-E777-4197-B177-E1FA5E6633B0}" name="10/31/16" dataDxfId="930" dataCellStyle="Normal 2"/>
    <tableColumn id="7" xr3:uid="{D99B1516-2A5F-4504-B04B-4453FBE48258}" name="10/31/17" dataDxfId="929" dataCellStyle="Normal 2"/>
    <tableColumn id="8" xr3:uid="{20999F69-8E52-41D5-BDA0-7F75C7B2D327}" name="10/31/18" dataDxfId="928"/>
    <tableColumn id="9" xr3:uid="{E5E57035-DA22-40AD-809C-535886CF060C}" name="10/31/19" dataDxfId="927"/>
    <tableColumn id="10" xr3:uid="{AECE629B-6BC2-478A-8F08-C32433BFF6AA}" name="10/31/20" dataDxfId="926"/>
    <tableColumn id="11" xr3:uid="{E6B13E5A-0CA6-4F64-85BB-258E13638557}" name="10/31/21" dataDxfId="925"/>
    <tableColumn id="2" xr3:uid="{8ADB45A2-629B-46F1-BC0C-516C5DB92DBE}" name="10/31/22" dataDxfId="924"/>
    <tableColumn id="14" xr3:uid="{F6149401-AA2D-4B1C-A24C-F05B1A502312}" name="10/31/23" dataDxfId="923"/>
    <tableColumn id="12" xr3:uid="{0674E4A1-754B-4F95-B940-DA2BBA2DF5F6}" name="YoY D#" dataDxfId="922" dataCellStyle="Normal 2">
      <calculatedColumnFormula>O273-N273</calculatedColumnFormula>
    </tableColumn>
    <tableColumn id="13" xr3:uid="{E9FB4ACA-E321-477B-9749-85ACAA86BD69}" name="YoY D%" dataDxfId="921" dataCellStyle="Normal 2">
      <calculatedColumnFormula>IF(O273&lt;&gt;0,P273/O273,"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6CF77B87-1D96-48EB-A5A8-271A86974D66}" name="Table2080140" displayName="Table2080140" ref="D280:Q285" totalsRowShown="0" headerRowDxfId="920" dataDxfId="918" headerRowBorderDxfId="919" tableBorderDxfId="917" headerRowCellStyle="Normal 2" dataCellStyle="Normal 2">
  <tableColumns count="14">
    <tableColumn id="1" xr3:uid="{2445EAFC-2C13-48EA-A470-492B47FA0AB7}" name="Metric" dataDxfId="916" dataCellStyle="Normal 2"/>
    <tableColumn id="3" xr3:uid="{30D98E51-4D59-477C-A47F-838490E75AA3}" name="10/31/13" dataDxfId="915" dataCellStyle="Normal 2"/>
    <tableColumn id="4" xr3:uid="{DE3EC099-56D4-4E6B-BF7B-4341FECE7A1A}" name="10/31/14" dataDxfId="914" dataCellStyle="Normal 2"/>
    <tableColumn id="5" xr3:uid="{8CBD6FAE-BF03-4B41-9A08-71E443EC9D20}" name="10/31/15" dataDxfId="913" dataCellStyle="Normal 2"/>
    <tableColumn id="6" xr3:uid="{A30FD0EA-BCB4-4379-B717-89B3A4D427CE}" name="10/31/16" dataDxfId="912" dataCellStyle="Normal 2"/>
    <tableColumn id="7" xr3:uid="{1CE04C96-E7B7-4205-AAD1-43993B5C2570}" name="10/31/17" dataDxfId="911" dataCellStyle="Normal 2"/>
    <tableColumn id="8" xr3:uid="{BFF5715F-4C94-469B-9BDC-2F64DD0AF69C}" name="10/31/18" dataDxfId="910" dataCellStyle="Normal 2"/>
    <tableColumn id="9" xr3:uid="{2B788C11-CBE7-478F-A7B7-D2A71DD67DF9}" name="10/31/19" dataDxfId="909" dataCellStyle="Normal 2"/>
    <tableColumn id="10" xr3:uid="{53ACBD3A-0706-4BF1-BBF4-F1ED9F718815}" name="10/31/20" dataDxfId="908" dataCellStyle="Normal 2"/>
    <tableColumn id="11" xr3:uid="{01FD7E01-7827-4C91-8B91-DF7B0CC1F462}" name="10/31/21" dataDxfId="907" dataCellStyle="Normal 2"/>
    <tableColumn id="2" xr3:uid="{57509A32-DFAB-41B7-8987-BD3A0525C8E4}" name="10/31/22" dataDxfId="906" dataCellStyle="Normal 2"/>
    <tableColumn id="14" xr3:uid="{EE2AFA3E-3C1C-4B30-9187-9362F85F1DAF}" name="10/31/23" dataDxfId="905" dataCellStyle="Normal 2"/>
    <tableColumn id="12" xr3:uid="{87785065-2260-43CC-8903-1230475A0BF0}" name="YoY D#" dataDxfId="904" dataCellStyle="Normal 2">
      <calculatedColumnFormula>O281-N281</calculatedColumnFormula>
    </tableColumn>
    <tableColumn id="13" xr3:uid="{F4C0E4DD-9719-46FC-BC07-0F8FEE62E15C}" name="YoY D%" dataDxfId="903" dataCellStyle="Normal 2">
      <calculatedColumnFormula>IF(O281&lt;&gt;0,P281/O281,"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89E635F5-DA80-448F-8595-1BA0CBDB3F7E}" name="Table663123" displayName="Table663123" ref="D27:Q32" totalsRowShown="0" headerRowDxfId="1218" dataDxfId="1217" headerRowCellStyle="Normal 2" dataCellStyle="Normal 2">
  <tableColumns count="14">
    <tableColumn id="1" xr3:uid="{78CD3213-3BFB-4A2D-B873-9CD31B9C2776}" name="Metric" dataDxfId="1216" dataCellStyle="Normal 2"/>
    <tableColumn id="3" xr3:uid="{B91904D3-CCE0-4C44-9459-FD90977F85AF}" name="10/31/13" dataDxfId="1215" dataCellStyle="Normal 2"/>
    <tableColumn id="4" xr3:uid="{3D00D7D6-2F8C-48D1-8907-B4C52FA9A4FB}" name="10/31/14" dataDxfId="1214" dataCellStyle="Normal 2"/>
    <tableColumn id="5" xr3:uid="{9E8F5BE1-1A19-4679-A734-0B38563A2841}" name="10/31/15" dataDxfId="1213" dataCellStyle="Normal 2"/>
    <tableColumn id="6" xr3:uid="{C7149A16-7651-4628-80C7-151F588179A6}" name="10/31/16" dataDxfId="1212" dataCellStyle="Normal 2"/>
    <tableColumn id="7" xr3:uid="{2015E6D6-FA8A-4992-B98C-992903C883B7}" name="10/31/17" dataDxfId="1211" dataCellStyle="Normal 2"/>
    <tableColumn id="8" xr3:uid="{0B683D65-918E-4362-AB17-046FB1A0375A}" name="10/31/18" dataDxfId="1210" dataCellStyle="Normal 2"/>
    <tableColumn id="9" xr3:uid="{961C3DFB-5D97-4978-BD55-3E76A588CFFE}" name="10/31/19" dataDxfId="1209" dataCellStyle="Normal 2"/>
    <tableColumn id="10" xr3:uid="{D4FA4976-AAF0-4476-9FAF-A1F27FB582A4}" name="10/31/20" dataDxfId="1208" dataCellStyle="Normal 2"/>
    <tableColumn id="11" xr3:uid="{7274495A-B562-49D4-A12E-1E2B556441CE}" name="10/31/21" dataDxfId="1207" dataCellStyle="Normal 2"/>
    <tableColumn id="2" xr3:uid="{62DCBFA0-D042-476B-9272-0F76FBCAC973}" name="10/31/22" dataDxfId="1206" dataCellStyle="Normal 2"/>
    <tableColumn id="14" xr3:uid="{274213B7-0D78-420D-A949-62F7F95A4684}" name="10/31/23" dataDxfId="1205" dataCellStyle="Normal 2"/>
    <tableColumn id="12" xr3:uid="{53FAACA4-E8CE-4589-B1A1-2686412FF7B0}" name="YoY D#" dataDxfId="1204" dataCellStyle="Normal 2">
      <calculatedColumnFormula>Table663123[[#This Row],[10/31/23]]-Table663123[[#This Row],[10/31/22]]</calculatedColumnFormula>
    </tableColumn>
    <tableColumn id="13" xr3:uid="{BB52A57E-146D-4554-963C-A78492F6E118}" name="YoY D%" dataDxfId="1203" dataCellStyle="Normal 2">
      <calculatedColumnFormula>IF(O28&lt;&gt;0,P28/O28,"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01202C17-939B-4B79-A1D6-D24F47279F93}" name="Table2181141" displayName="Table2181141" ref="D313:Q325" totalsRowShown="0" headerRowDxfId="902" dataDxfId="900" headerRowBorderDxfId="901" tableBorderDxfId="899" headerRowCellStyle="Normal 2" dataCellStyle="Normal 2">
  <tableColumns count="14">
    <tableColumn id="1" xr3:uid="{588174A0-4E98-4FBD-9BB4-B683C1BD315C}" name="Metric" dataDxfId="898" dataCellStyle="Normal 2"/>
    <tableColumn id="3" xr3:uid="{B4D5D69D-A1B1-4244-9153-19C5FE5F3E73}" name="10/31/13" dataDxfId="897" dataCellStyle="Normal 2"/>
    <tableColumn id="4" xr3:uid="{E6142A38-5B70-44FA-A341-EEBDA0A4C927}" name="10/31/14" dataDxfId="896" dataCellStyle="Normal 2"/>
    <tableColumn id="5" xr3:uid="{010BE1A6-2FF1-4955-A0A6-9F8B64EC60C4}" name="10/31/15" dataDxfId="895" dataCellStyle="Normal 2"/>
    <tableColumn id="6" xr3:uid="{0DEFCAAA-D462-4536-A240-BD4D14D8FE8C}" name="10/31/16" dataDxfId="894" dataCellStyle="Normal 2"/>
    <tableColumn id="7" xr3:uid="{97637284-8136-47C5-AAB3-18B833D8D60F}" name="10/31/17" dataDxfId="893" dataCellStyle="Normal 2"/>
    <tableColumn id="8" xr3:uid="{375C0EC9-8850-402C-A63F-95E05DE149B8}" name="10/31/18" dataDxfId="892" dataCellStyle="Normal 2"/>
    <tableColumn id="9" xr3:uid="{05F4D67F-27A5-4D18-8E01-BF59EE32BCC7}" name="10/31/19" dataDxfId="891" dataCellStyle="Normal 2"/>
    <tableColumn id="10" xr3:uid="{EC42C816-30FE-4338-91B1-98F5EF51BBD4}" name="10/31/20" dataDxfId="890" dataCellStyle="Normal 2"/>
    <tableColumn id="11" xr3:uid="{1A97FFB7-43B8-4291-9D38-5BA906F6D2B9}" name="10/31/21" dataDxfId="889" dataCellStyle="Normal 2"/>
    <tableColumn id="2" xr3:uid="{F23744BB-4F3A-4ED0-A15E-774E80D7A07F}" name="10/31/22" dataDxfId="888" dataCellStyle="Normal 2"/>
    <tableColumn id="14" xr3:uid="{14A7EF76-BF94-402D-B6E6-38F8C98A054E}" name="10/31/23" dataDxfId="887" dataCellStyle="Normal 2"/>
    <tableColumn id="12" xr3:uid="{CD341C5E-C18C-4BAE-95A9-680A76CF1382}" name="YoY D#" dataDxfId="886" dataCellStyle="Normal 2">
      <calculatedColumnFormula>N314-M314</calculatedColumnFormula>
    </tableColumn>
    <tableColumn id="13" xr3:uid="{C3617026-A777-4BC0-9530-B3422C869709}" name="YoY D%" dataDxfId="885" dataCellStyle="Normal 2">
      <calculatedColumnFormula>IF(N314&lt;&gt;0,P314/N314,"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78F2D035-3942-49A4-91DF-AF84A3890D5B}" name="Table2282142" displayName="Table2282142" ref="D328:Q333" totalsRowShown="0" headerRowDxfId="884" dataDxfId="882" headerRowBorderDxfId="883" tableBorderDxfId="881" headerRowCellStyle="Normal 2" dataCellStyle="Normal 2">
  <tableColumns count="14">
    <tableColumn id="1" xr3:uid="{04A8A299-9CAD-403E-9A3A-D15BE9E73C80}" name="Metric" dataDxfId="880" dataCellStyle="Normal 2"/>
    <tableColumn id="3" xr3:uid="{3089B7A2-7207-4299-9EAF-CAF66AB61BD9}" name="10/31/13" dataDxfId="879" dataCellStyle="Normal 2"/>
    <tableColumn id="4" xr3:uid="{64947C8D-31DC-4D75-81C0-4663873FC5E4}" name="10/31/14" dataDxfId="878" dataCellStyle="Normal 2"/>
    <tableColumn id="5" xr3:uid="{F75C8359-44C2-46E8-A58F-A8BE2D2B3273}" name="10/31/15" dataDxfId="877" dataCellStyle="Normal 2"/>
    <tableColumn id="6" xr3:uid="{8703F0A8-7C4C-4EEE-BD87-0E30F4AA2570}" name="10/31/16" dataDxfId="876" dataCellStyle="Normal 2"/>
    <tableColumn id="7" xr3:uid="{228596C4-4662-4942-9E6F-7FF1B9B9FFE4}" name="10/31/17" dataDxfId="875" dataCellStyle="Normal 2"/>
    <tableColumn id="8" xr3:uid="{69F8616D-AB98-4EBB-83AB-E4D361C9A5BB}" name="10/31/18" dataDxfId="874" dataCellStyle="Normal 2"/>
    <tableColumn id="9" xr3:uid="{B1707D7E-3E39-4593-ABBD-53990B5A5C8E}" name="10/31/19" dataDxfId="873" dataCellStyle="Normal 2"/>
    <tableColumn id="10" xr3:uid="{D320A857-D0B3-4003-8952-B5981B157F0F}" name="10/31/20" dataDxfId="872" dataCellStyle="Normal 2"/>
    <tableColumn id="11" xr3:uid="{60C8A7F4-FD3D-4A1D-9D0C-5AACC88A4FC9}" name="10/31/21" dataDxfId="871" dataCellStyle="Normal 2"/>
    <tableColumn id="2" xr3:uid="{4C5C0FD3-C760-4926-A1C5-F30B958A8501}" name="10/31/22" dataDxfId="870" dataCellStyle="Normal 2"/>
    <tableColumn id="14" xr3:uid="{D1CBC2FF-8BFD-4D2A-A8AF-02698C472B10}" name="10/31/23" dataDxfId="869" dataCellStyle="Normal 2"/>
    <tableColumn id="12" xr3:uid="{2E693E9E-9141-4DF4-AF59-2E47BC8D0EE5}" name="YoY D#" dataDxfId="868" dataCellStyle="Normal 2">
      <calculatedColumnFormula>O329-N329</calculatedColumnFormula>
    </tableColumn>
    <tableColumn id="13" xr3:uid="{F3424CEA-368A-4F2B-9AA7-B9B512E24DA4}" name="YoY D%" dataDxfId="867" dataCellStyle="Normal 2">
      <calculatedColumnFormula>IF(O329&lt;&gt;0,P329/O329,"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45205FA4-B263-49A5-9175-77668AEE78B0}" name="Table2383143" displayName="Table2383143" ref="D338:Q343" totalsRowShown="0" headerRowDxfId="866" dataDxfId="864" headerRowBorderDxfId="865" tableBorderDxfId="863" headerRowCellStyle="Normal 2" dataCellStyle="Comma">
  <tableColumns count="14">
    <tableColumn id="1" xr3:uid="{5B219C6A-FE63-4658-9768-DA17DE21EC87}" name="Metric" dataDxfId="862" dataCellStyle="Normal 2"/>
    <tableColumn id="3" xr3:uid="{858FB6C1-050A-4386-A69C-EDC683460168}" name="10/31/13" dataDxfId="861" dataCellStyle="Normal 2"/>
    <tableColumn id="4" xr3:uid="{56C03EA9-472C-458F-9701-BCA468FAFD85}" name="10/31/14" dataDxfId="860" dataCellStyle="Normal 2"/>
    <tableColumn id="5" xr3:uid="{4FA57CF6-9714-4797-97A1-DD6502718EFE}" name="10/31/15" dataDxfId="859" dataCellStyle="Normal 2"/>
    <tableColumn id="6" xr3:uid="{3FE64C84-5F02-4182-8998-449B02D89072}" name="10/31/16" dataDxfId="858" dataCellStyle="Normal 2"/>
    <tableColumn id="7" xr3:uid="{1A81F9F1-F991-4536-A544-4980BA10F39D}" name="10/31/17" dataDxfId="857" dataCellStyle="Normal 2"/>
    <tableColumn id="8" xr3:uid="{423224B4-1504-4B6C-8B4A-33B561AA440D}" name="10/31/18" dataDxfId="856" dataCellStyle="Comma"/>
    <tableColumn id="9" xr3:uid="{17E90EA3-4DEA-4077-B249-DDD5F744F04C}" name="10/31/19" dataDxfId="855" dataCellStyle="Comma"/>
    <tableColumn id="10" xr3:uid="{F4CC99D8-3D01-456E-9E19-6CA325212B81}" name="10/31/20" dataDxfId="854" dataCellStyle="Comma"/>
    <tableColumn id="11" xr3:uid="{3C7825C3-9E6A-4B6D-BC6F-DE7CAF864332}" name="10/31/21" dataDxfId="853" dataCellStyle="Comma"/>
    <tableColumn id="2" xr3:uid="{63637385-1F9B-470E-B282-224F7CD8F4A7}" name="10/31/22" dataDxfId="852" dataCellStyle="Comma"/>
    <tableColumn id="14" xr3:uid="{E03E7237-1FC5-4634-A140-3C3452B8D64C}" name="10/31/23" dataDxfId="851" dataCellStyle="Comma"/>
    <tableColumn id="12" xr3:uid="{C6A858C2-AE09-49F5-A38B-6ECFDBBF35A8}" name="YoY D#" dataDxfId="850" dataCellStyle="Normal 2">
      <calculatedColumnFormula>O339-N339</calculatedColumnFormula>
    </tableColumn>
    <tableColumn id="13" xr3:uid="{4B9B2028-07E6-4236-B62F-D0538DA814FA}" name="YoY D%" dataDxfId="849" dataCellStyle="Normal 2">
      <calculatedColumnFormula>IF(O339&lt;&gt;0,P339/O339,"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897B8352-1956-4C94-BACC-D50F2D48A176}" name="Table2484144" displayName="Table2484144" ref="D346:Q351" totalsRowShown="0" headerRowDxfId="848" dataDxfId="846" headerRowBorderDxfId="847" tableBorderDxfId="845" headerRowCellStyle="Normal 2">
  <tableColumns count="14">
    <tableColumn id="1" xr3:uid="{23978628-81B4-4933-84AA-09DADFA846DA}" name="Metric" dataDxfId="844" dataCellStyle="Normal 2"/>
    <tableColumn id="3" xr3:uid="{26F6A1EE-BB9A-4B42-AA3A-BD6BA81EAFB3}" name="10/31/13" dataDxfId="843" dataCellStyle="Normal 2"/>
    <tableColumn id="4" xr3:uid="{851A50F4-7A39-4025-B077-8FB98AC1DFE3}" name="10/31/14" dataDxfId="842" dataCellStyle="Normal 2"/>
    <tableColumn id="5" xr3:uid="{079BD604-4565-44C3-BE38-E2A0F1651979}" name="10/31/15" dataDxfId="841" dataCellStyle="Normal 2"/>
    <tableColumn id="6" xr3:uid="{F97F8650-F9E4-4DE0-9609-821DDCC86691}" name="10/31/16" dataDxfId="840" dataCellStyle="Normal 2"/>
    <tableColumn id="7" xr3:uid="{12DE07C3-1667-4B94-BAE9-2F21375F2DF0}" name="10/31/17" dataDxfId="839" dataCellStyle="Normal 2"/>
    <tableColumn id="8" xr3:uid="{741952EA-5F35-499C-A3E3-AAE3A81CE4A7}" name="10/31/18" dataDxfId="838"/>
    <tableColumn id="9" xr3:uid="{AB9808D8-A0D8-496E-9655-511EAE0E16A9}" name="10/31/19" dataDxfId="837"/>
    <tableColumn id="10" xr3:uid="{4D93E35D-0CA9-4118-8A58-D4E4037A2A2D}" name="10/31/20" dataDxfId="836"/>
    <tableColumn id="11" xr3:uid="{A3BFEE80-1073-4EBD-9F93-765A65E08FF5}" name="10/31/21" dataDxfId="835"/>
    <tableColumn id="2" xr3:uid="{8FC4B4D4-A80C-491C-BC14-473681392522}" name="10/31/22" dataDxfId="834"/>
    <tableColumn id="14" xr3:uid="{CC4D2E7C-B9B8-4C31-9859-DC5A1158A6C6}" name="10/31/23" dataDxfId="833"/>
    <tableColumn id="12" xr3:uid="{0194528E-E637-467A-A11B-0501A9A2A10E}" name="YoY D#" dataDxfId="832" dataCellStyle="Normal 2">
      <calculatedColumnFormula>O347-N347</calculatedColumnFormula>
    </tableColumn>
    <tableColumn id="13" xr3:uid="{4F126EE1-A8AF-462C-86BF-A8C1951846F1}" name="YoY D%" dataDxfId="831" dataCellStyle="Normal 2">
      <calculatedColumnFormula>IF(O347&lt;&gt;0,P347/O347,"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CB31B75A-8DF2-4FC1-9368-8B28A848F526}" name="Table2585145" displayName="Table2585145" ref="D354:Q359" totalsRowShown="0" headerRowDxfId="830" dataDxfId="828" headerRowBorderDxfId="829" tableBorderDxfId="827" headerRowCellStyle="Normal 2" dataCellStyle="Normal 2">
  <tableColumns count="14">
    <tableColumn id="1" xr3:uid="{E48DA551-F053-4AD4-972C-EDC01DF29691}" name="Metric" dataDxfId="826" dataCellStyle="Normal 2"/>
    <tableColumn id="3" xr3:uid="{70035135-A21A-490F-AE98-6E4BE9347679}" name="10/31/13" dataDxfId="825" dataCellStyle="Normal 2"/>
    <tableColumn id="4" xr3:uid="{0C8C53D1-C858-472C-8863-773365D34895}" name="10/31/14" dataDxfId="824" dataCellStyle="Normal 2"/>
    <tableColumn id="5" xr3:uid="{8AC2B942-75B6-4867-A0B9-79D890D45BE8}" name="10/31/15" dataDxfId="823" dataCellStyle="Normal 2"/>
    <tableColumn id="6" xr3:uid="{81E27BC2-282C-4460-A120-F2AEA37CDCD9}" name="10/31/16" dataDxfId="822" dataCellStyle="Normal 2"/>
    <tableColumn id="7" xr3:uid="{14C11D47-A9B2-420A-A98F-31155676F5C4}" name="10/31/17" dataDxfId="821" dataCellStyle="Normal 2"/>
    <tableColumn id="8" xr3:uid="{4231D6E8-AEC0-48E3-9AE1-9E3CA09FA4BE}" name="10/31/18" dataDxfId="820" dataCellStyle="Normal 2"/>
    <tableColumn id="9" xr3:uid="{E010ED70-FB3D-4B8D-879E-6929FFDFF8CA}" name="10/31/19" dataDxfId="819" dataCellStyle="Normal 2"/>
    <tableColumn id="10" xr3:uid="{78A092FA-14C1-43BD-BC65-BD2CEF41B47A}" name="10/31/20" dataDxfId="818" dataCellStyle="Normal 2"/>
    <tableColumn id="11" xr3:uid="{DD26BE9C-9816-49AE-B560-830FC80891CE}" name="10/31/21" dataDxfId="817" dataCellStyle="Normal 2"/>
    <tableColumn id="2" xr3:uid="{64E9331B-3922-4AFB-8A64-70227721CA10}" name="10/31/22" dataDxfId="816" dataCellStyle="Normal 2"/>
    <tableColumn id="14" xr3:uid="{25AB88A9-E3E2-4CE9-81B7-F828A12A8BAD}" name="10/31/23" dataDxfId="815" dataCellStyle="Normal 2"/>
    <tableColumn id="12" xr3:uid="{9D4529C5-F079-4D86-B1F2-85B2439E2883}" name="YoY D#" dataDxfId="814" dataCellStyle="Normal 2">
      <calculatedColumnFormula>O355-N355</calculatedColumnFormula>
    </tableColumn>
    <tableColumn id="13" xr3:uid="{42D6DC4A-8188-45DF-978F-8EA7D668C5B1}" name="YoY D%" dataDxfId="813" dataCellStyle="Normal 2">
      <calculatedColumnFormula>IF(O355&lt;&gt;0,P355/O355,"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F0DC2106-0453-4DAE-84A6-57B551B73C39}" name="Table2686146" displayName="Table2686146" ref="D388:Q400" totalsRowShown="0" headerRowDxfId="812" dataDxfId="810" headerRowBorderDxfId="811" tableBorderDxfId="809" headerRowCellStyle="Normal 2" dataCellStyle="Normal 2">
  <tableColumns count="14">
    <tableColumn id="1" xr3:uid="{4BF93197-E46B-4DB7-8261-6DDA55E638D1}" name="Metric" dataDxfId="808" dataCellStyle="Normal 2"/>
    <tableColumn id="3" xr3:uid="{7C95C208-A204-4135-ACE3-276F07DF3774}" name="10/31/13" dataDxfId="807" dataCellStyle="Normal 2"/>
    <tableColumn id="4" xr3:uid="{F606BF57-13AD-4B50-B683-13BB8044F93E}" name="10/31/14" dataDxfId="806" dataCellStyle="Normal 2"/>
    <tableColumn id="5" xr3:uid="{D649C19B-9E31-48A2-901B-3548AD818F4E}" name="10/31/15" dataDxfId="805" dataCellStyle="Normal 2"/>
    <tableColumn id="6" xr3:uid="{F709B001-75BF-4444-B370-40061217C767}" name="10/31/16" dataDxfId="804" dataCellStyle="Normal 2"/>
    <tableColumn id="7" xr3:uid="{709A587C-83D9-46E1-BC25-420179731B5D}" name="10/31/17" dataDxfId="803" dataCellStyle="Normal 2"/>
    <tableColumn id="8" xr3:uid="{4B8D6129-12EA-48E8-89C3-0A60F846E235}" name="10/31/18" dataDxfId="802" dataCellStyle="Normal 2"/>
    <tableColumn id="9" xr3:uid="{4211EC14-6DC7-40A8-8145-2505F1F66CB9}" name="10/31/19" dataDxfId="801" dataCellStyle="Normal 2"/>
    <tableColumn id="10" xr3:uid="{6BAEB445-1934-4C18-8682-2D5B36F6AEF3}" name="10/31/20" dataDxfId="800" dataCellStyle="Normal 2"/>
    <tableColumn id="11" xr3:uid="{6C5ED6A8-8EBE-4BD3-BBA6-E91BA51D2A0D}" name="10/31/21" dataDxfId="799" dataCellStyle="Normal 2"/>
    <tableColumn id="2" xr3:uid="{1E1F0E92-9260-4CA1-9849-76F68EDB3ED8}" name="10/31/22" dataDxfId="798" dataCellStyle="Normal 2"/>
    <tableColumn id="14" xr3:uid="{085382A6-B2F8-4AE1-A623-F4288382B9CA}" name="10/31/23" dataDxfId="797" dataCellStyle="Normal 2"/>
    <tableColumn id="12" xr3:uid="{98A1E9CA-79E1-43D9-8066-73B103926DD2}" name="YoY D#" dataDxfId="796" dataCellStyle="Normal 2">
      <calculatedColumnFormula>N389-M389</calculatedColumnFormula>
    </tableColumn>
    <tableColumn id="13" xr3:uid="{B19ED30D-31F7-4823-A3CC-E7FB7706DEE7}" name="YoY D%" dataDxfId="795" dataCellStyle="Normal 2">
      <calculatedColumnFormula>IF(N389&lt;&gt;0,P389/N389,"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1DEBBDA7-6CCF-46A6-9412-3D370449635A}" name="Table2787147" displayName="Table2787147" ref="D403:Q409" totalsRowCount="1" headerRowDxfId="794" dataDxfId="792" totalsRowDxfId="790" headerRowBorderDxfId="793" tableBorderDxfId="791" headerRowCellStyle="Normal 2" dataCellStyle="Normal 2">
  <tableColumns count="14">
    <tableColumn id="1" xr3:uid="{A5D1BF5F-F994-4476-A249-82B597A7FF76}" name="Metric" dataDxfId="789" totalsRowDxfId="788" dataCellStyle="Normal 2" totalsRowCellStyle="Normal 2"/>
    <tableColumn id="3" xr3:uid="{E121BB40-B809-44FF-8DD3-E3FEBD6E9D44}" name="10/31/13" dataDxfId="787" totalsRowDxfId="786" dataCellStyle="Normal 2" totalsRowCellStyle="Normal 2"/>
    <tableColumn id="4" xr3:uid="{FCCF0892-F156-4FFB-B1CD-581BCEC7E127}" name="10/31/14" dataDxfId="785" totalsRowDxfId="784" dataCellStyle="Normal 2" totalsRowCellStyle="Normal 2"/>
    <tableColumn id="5" xr3:uid="{E0115BED-D6A8-414E-96D0-4A0461EBFAC3}" name="10/31/15" dataDxfId="783" totalsRowDxfId="782" dataCellStyle="Normal 2" totalsRowCellStyle="Normal 2"/>
    <tableColumn id="6" xr3:uid="{B55F25A0-3E14-42D7-9321-59B2EFCD1B18}" name="10/31/16" dataDxfId="781" totalsRowDxfId="780" dataCellStyle="Normal 2" totalsRowCellStyle="Normal 2"/>
    <tableColumn id="7" xr3:uid="{544732DB-5158-45C5-8153-8FCDB6A8C4BA}" name="10/31/17" dataDxfId="779" totalsRowDxfId="778" dataCellStyle="Normal 2" totalsRowCellStyle="Normal 2"/>
    <tableColumn id="8" xr3:uid="{E4C4BCC6-9AEB-4241-9C1B-39A63EFCEAC4}" name="10/31/18" dataDxfId="777" totalsRowDxfId="776" dataCellStyle="Normal 2" totalsRowCellStyle="Normal 2"/>
    <tableColumn id="9" xr3:uid="{C3C380BA-C7E9-4C01-B4D5-512FF8C2F8BA}" name="10/31/19" dataDxfId="775" totalsRowDxfId="774" dataCellStyle="Normal 2" totalsRowCellStyle="Normal 2"/>
    <tableColumn id="10" xr3:uid="{2E14C586-BF62-413D-BAD6-99AB91684847}" name="10/31/20" dataDxfId="773" totalsRowDxfId="772" dataCellStyle="Normal 2" totalsRowCellStyle="Normal 2"/>
    <tableColumn id="11" xr3:uid="{82799787-2034-4170-9BCF-E9A776673890}" name="10/31/21" dataDxfId="771" totalsRowDxfId="770" dataCellStyle="Normal 2" totalsRowCellStyle="Normal 2"/>
    <tableColumn id="2" xr3:uid="{1FCEE507-3791-4E11-8339-CB48C3A10DEF}" name="10/31/22" dataDxfId="769" totalsRowDxfId="768" dataCellStyle="Normal 2" totalsRowCellStyle="Normal 2"/>
    <tableColumn id="14" xr3:uid="{47C69A0C-4E6E-44F6-A8CB-EFDBCDB76563}" name="10/31/23" dataDxfId="767" totalsRowDxfId="766" totalsRowCellStyle="Normal 2"/>
    <tableColumn id="12" xr3:uid="{300D0CDC-FFBC-4E14-BE6B-AAC00DFA089A}" name="YoY D#" dataDxfId="765" totalsRowDxfId="764" dataCellStyle="Normal 2" totalsRowCellStyle="Normal 2">
      <calculatedColumnFormula>O404-N404</calculatedColumnFormula>
    </tableColumn>
    <tableColumn id="13" xr3:uid="{346F00C6-A42E-47EE-84FF-89086D886EAD}" name="YoY D%" dataDxfId="763" totalsRowDxfId="762" dataCellStyle="Normal 2" totalsRowCellStyle="Normal 2">
      <calculatedColumnFormula>IF(O404&lt;&gt;0,P404/O404,"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29325555-E3C3-4B6C-81BD-99FDCDCE23B3}" name="Table2888148" displayName="Table2888148" ref="D414:Q419" totalsRowShown="0" headerRowDxfId="761" dataDxfId="759" headerRowBorderDxfId="760" tableBorderDxfId="758" headerRowCellStyle="Normal 2" dataCellStyle="Comma">
  <tableColumns count="14">
    <tableColumn id="1" xr3:uid="{2809952F-17B3-45F6-B6AD-AED63439E225}" name="Metric" dataDxfId="757" dataCellStyle="Normal 2"/>
    <tableColumn id="3" xr3:uid="{55E3E3C5-B661-41EC-A0DA-F1291E1BAEAC}" name="10/31/13" dataDxfId="756" dataCellStyle="Normal 2"/>
    <tableColumn id="4" xr3:uid="{8A367421-B1D4-4634-9FBE-6DAB5290328D}" name="10/31/14" dataDxfId="755" dataCellStyle="Normal 2"/>
    <tableColumn id="5" xr3:uid="{7828A6DC-0616-476E-87F1-7B57398199B0}" name="10/31/15" dataDxfId="754" dataCellStyle="Normal 2"/>
    <tableColumn id="6" xr3:uid="{0206F8FA-3841-4342-AF6F-2E5CE646F1B7}" name="10/31/16" dataDxfId="753" dataCellStyle="Normal 2"/>
    <tableColumn id="7" xr3:uid="{631D847A-9120-47F6-9EB8-04F6EAAAAD1C}" name="10/31/17" dataDxfId="752" dataCellStyle="Normal 2"/>
    <tableColumn id="8" xr3:uid="{854F7565-43A7-47E6-AE39-EF2E989BC767}" name="10/31/18" dataDxfId="751" dataCellStyle="Comma"/>
    <tableColumn id="9" xr3:uid="{C3045FF4-B8D0-4625-A09F-C4A9311CE72F}" name="10/31/19" dataDxfId="750" dataCellStyle="Comma"/>
    <tableColumn id="10" xr3:uid="{74F87F30-074A-4ADD-834F-232554EE3062}" name="10/31/20" dataDxfId="749" dataCellStyle="Comma"/>
    <tableColumn id="11" xr3:uid="{01C98F81-25B7-49D8-AE98-607BB63FD6A6}" name="10/31/21" dataDxfId="748" dataCellStyle="Comma"/>
    <tableColumn id="2" xr3:uid="{E48248F8-1E20-4DE3-B124-349F443A9B96}" name="10/31/22" dataDxfId="747" dataCellStyle="Comma"/>
    <tableColumn id="14" xr3:uid="{90AC1297-C828-481B-B587-35C307090F3E}" name="10/31/23" dataDxfId="746" dataCellStyle="Comma"/>
    <tableColumn id="12" xr3:uid="{2C4ED0CC-BA96-4471-A929-2FD6D8BED977}" name="YoY D#" dataDxfId="745" dataCellStyle="Normal 2">
      <calculatedColumnFormula>O415-N415</calculatedColumnFormula>
    </tableColumn>
    <tableColumn id="13" xr3:uid="{303E0A00-ADFA-435B-8E4E-8549D7707B15}" name="YoY D%" dataDxfId="744" dataCellStyle="Normal 2">
      <calculatedColumnFormula>IF(O415&lt;&gt;0,P415/O415,"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ED393769-13E9-4980-9C91-69E63D1DFEDF}" name="Table2989149" displayName="Table2989149" ref="D422:Q427" totalsRowShown="0" headerRowDxfId="743" dataDxfId="741" headerRowBorderDxfId="742" tableBorderDxfId="740" headerRowCellStyle="Normal 2">
  <tableColumns count="14">
    <tableColumn id="1" xr3:uid="{4226E139-EF62-4072-99EE-26CF937140F8}" name="Metric" dataDxfId="739" dataCellStyle="Normal 2"/>
    <tableColumn id="3" xr3:uid="{A1D24BC4-A5B6-44AB-A5D5-2700F5AE1DA0}" name="10/31/13" dataDxfId="738" dataCellStyle="Normal 2"/>
    <tableColumn id="4" xr3:uid="{D73DC1E5-9ECB-47E7-B743-EB3C4F01B499}" name="10/31/14" dataDxfId="737" dataCellStyle="Normal 2"/>
    <tableColumn id="5" xr3:uid="{629D0636-35D0-493B-A55F-9975E416C210}" name="10/31/15" dataDxfId="736" dataCellStyle="Normal 2"/>
    <tableColumn id="6" xr3:uid="{3ECF895F-068C-42C3-9466-13E735A96DE8}" name="10/31/16" dataDxfId="735" dataCellStyle="Normal 2"/>
    <tableColumn id="7" xr3:uid="{C561FAC3-2722-43F5-A51B-8A1F3FE44EDD}" name="10/31/17" dataDxfId="734" dataCellStyle="Normal 2"/>
    <tableColumn id="8" xr3:uid="{76CB0447-B90F-47CD-B79F-432CE0331240}" name="10/31/18" dataDxfId="733"/>
    <tableColumn id="9" xr3:uid="{B58CE605-3BDF-456A-A26D-C63A975EDE15}" name="10/31/19" dataDxfId="732"/>
    <tableColumn id="10" xr3:uid="{2C216D63-E031-41DB-AD8B-FCFF505BF896}" name="10/31/20" dataDxfId="731"/>
    <tableColumn id="11" xr3:uid="{30595C49-D7D3-4BA4-BBE8-39C7F04350B9}" name="10/31/21" dataDxfId="730"/>
    <tableColumn id="2" xr3:uid="{7145ECD5-30DF-477C-8FDB-909A2659F4BA}" name="10/31/22" dataDxfId="729"/>
    <tableColumn id="14" xr3:uid="{3E331D20-8A55-4074-B14E-6E13284F7BFA}" name="10/31/23" dataDxfId="728"/>
    <tableColumn id="12" xr3:uid="{69DE764F-2B55-4409-9FE6-E6E9EF4D2502}" name="YoY D#" dataDxfId="727" dataCellStyle="Normal 2">
      <calculatedColumnFormula>O423-N423</calculatedColumnFormula>
    </tableColumn>
    <tableColumn id="13" xr3:uid="{1A2310A3-7F81-4206-88A2-C08DABF41128}" name="YoY D%" dataDxfId="726" dataCellStyle="Normal 2">
      <calculatedColumnFormula>IF(O423&lt;&gt;0,P423/O423,"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5C999E21-A935-4F40-B44D-2D9FC79821AA}" name="Table3090150" displayName="Table3090150" ref="D430:Q435" totalsRowShown="0" headerRowDxfId="725" dataDxfId="723" headerRowBorderDxfId="724" tableBorderDxfId="722" headerRowCellStyle="Normal 2" dataCellStyle="Normal 2">
  <tableColumns count="14">
    <tableColumn id="1" xr3:uid="{DFBC50B9-6B98-4D5D-8D08-2D9DE7A261ED}" name="Metric" dataDxfId="721" dataCellStyle="Normal 2"/>
    <tableColumn id="3" xr3:uid="{21BE6F9D-5256-4BF7-A8DC-5744F1CF35E5}" name="10/31/13" dataDxfId="720" dataCellStyle="Normal 2"/>
    <tableColumn id="4" xr3:uid="{EA5F12D2-4DCD-4E16-8664-A83C6596B70F}" name="10/31/14" dataDxfId="719" dataCellStyle="Normal 2"/>
    <tableColumn id="5" xr3:uid="{ACC7DCD0-17B1-4588-8581-8BD2AFB041B6}" name="10/31/15" dataDxfId="718" dataCellStyle="Normal 2"/>
    <tableColumn id="6" xr3:uid="{2773FA16-D2F5-4431-BAEA-AC2A1667D965}" name="10/31/16" dataDxfId="717" dataCellStyle="Normal 2"/>
    <tableColumn id="7" xr3:uid="{1D59C38A-EDDB-47D8-BF4C-BD2CAC219529}" name="10/31/17" dataDxfId="716" dataCellStyle="Normal 2"/>
    <tableColumn id="8" xr3:uid="{F91E3E36-7B34-44A7-8C4B-08D7EE45C0F1}" name="10/31/18" dataDxfId="715" dataCellStyle="Normal 2"/>
    <tableColumn id="9" xr3:uid="{785AB52C-3D00-488F-9477-075069BBF6F9}" name="10/31/19" dataDxfId="714" dataCellStyle="Normal 2"/>
    <tableColumn id="10" xr3:uid="{E50E6619-B609-456B-8B7A-CB242AED07EC}" name="10/31/20" dataDxfId="713" dataCellStyle="Normal 2"/>
    <tableColumn id="11" xr3:uid="{A36466C6-6AF2-45EC-822F-1F43BE31585C}" name="10/31/21" dataDxfId="712" dataCellStyle="Normal 2"/>
    <tableColumn id="2" xr3:uid="{95C96805-43CC-4C5B-A47B-5D7B131C2E6C}" name="10/31/22" dataDxfId="711" dataCellStyle="Normal 2"/>
    <tableColumn id="14" xr3:uid="{1FCCD9F2-4F84-45C4-88DC-A75DB7A907B7}" name="10/31/23" dataDxfId="710" dataCellStyle="Normal 2"/>
    <tableColumn id="12" xr3:uid="{54C680BD-5448-43BD-8989-FDC47B3E140A}" name="YoY D#" dataDxfId="709" dataCellStyle="Normal 2">
      <calculatedColumnFormula>O431-N431</calculatedColumnFormula>
    </tableColumn>
    <tableColumn id="13" xr3:uid="{512A2780-24FA-44AE-911F-51FF087638FB}" name="YoY D%" dataDxfId="708" dataCellStyle="Normal 2">
      <calculatedColumnFormula>IF(O431&lt;&gt;0,P431/O431,"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E54F2116-52CA-43E4-9B00-90B2192B75B8}" name="Table764124" displayName="Table764124" ref="D38:Q43" totalsRowShown="0" headerRowDxfId="1202" dataDxfId="1201" headerRowCellStyle="Normal 2" dataCellStyle="Comma">
  <tableColumns count="14">
    <tableColumn id="1" xr3:uid="{687D0569-615D-4DB2-857D-CC712A29D4CC}" name="Metric" dataDxfId="1200" dataCellStyle="Normal 2"/>
    <tableColumn id="3" xr3:uid="{68842D39-3A37-4C55-BA63-91E685FE1321}" name="10/31/13" dataDxfId="1199" dataCellStyle="Normal 2"/>
    <tableColumn id="4" xr3:uid="{A7B0F2A1-AAE4-417D-B409-6B011B37FD3C}" name="10/31/14" dataDxfId="1198" dataCellStyle="Normal 2"/>
    <tableColumn id="5" xr3:uid="{4900FA29-6F32-482B-93C3-59AC3FEF186B}" name="10/31/15" dataDxfId="1197" dataCellStyle="Normal 2"/>
    <tableColumn id="6" xr3:uid="{96EA93C8-CEC0-47C4-B88A-E927FBDE3004}" name="10/31/16" dataDxfId="1196" dataCellStyle="Normal 2"/>
    <tableColumn id="7" xr3:uid="{A6372AE1-B877-4176-A41C-E2156A9B6B84}" name="10/31/17" dataDxfId="1195" dataCellStyle="Normal 2"/>
    <tableColumn id="8" xr3:uid="{4CFE5C6C-A98D-4C18-81B8-0D04D6EB0B26}" name="10/31/18" dataDxfId="1194" dataCellStyle="Comma"/>
    <tableColumn id="9" xr3:uid="{02539EA1-A537-426F-A4FF-3EA3B37FF0C7}" name="10/31/19" dataDxfId="1193" dataCellStyle="Comma"/>
    <tableColumn id="10" xr3:uid="{3AD963DE-958B-4105-9830-F6FFF1B1E828}" name="10/31/20" dataDxfId="1192" dataCellStyle="Comma"/>
    <tableColumn id="11" xr3:uid="{AF29925F-85C9-41A7-9FA0-198A0B26154F}" name="10/31/21" dataDxfId="1191" dataCellStyle="Comma"/>
    <tableColumn id="2" xr3:uid="{2387E8DF-79A4-40CB-AFA2-A3711DFB21E7}" name="10/31/22" dataDxfId="1190" dataCellStyle="Comma"/>
    <tableColumn id="14" xr3:uid="{EBCC2D2E-DEFC-433D-964B-6D19C66E1621}" name="10/31/23" dataDxfId="1189" dataCellStyle="Comma"/>
    <tableColumn id="12" xr3:uid="{7895A261-3432-4E61-B50A-A1C7AA62E104}" name="YoY D#" dataDxfId="1188" dataCellStyle="Normal 2">
      <calculatedColumnFormula>O39-N39</calculatedColumnFormula>
    </tableColumn>
    <tableColumn id="13" xr3:uid="{77214841-16C9-4697-B825-6E2557217849}" name="YoY D%" dataDxfId="1187" dataCellStyle="Normal 2">
      <calculatedColumnFormula>IF(O39&lt;&gt;0,P39/O39,"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45D97745-64D3-4D1D-9064-05B2C4E409BA}" name="Table3191151" displayName="Table3191151" ref="D463:Q475" totalsRowShown="0" headerRowDxfId="707" dataDxfId="705" headerRowBorderDxfId="706" tableBorderDxfId="704" headerRowCellStyle="Normal 2" dataCellStyle="Normal 2">
  <tableColumns count="14">
    <tableColumn id="1" xr3:uid="{A1F2A181-BDAA-4811-99FB-660AEDE8890A}" name="Metric" dataDxfId="703" dataCellStyle="Normal 2"/>
    <tableColumn id="3" xr3:uid="{1B21DD90-E53F-4B74-B75B-F24EA90607B9}" name="10/31/13" dataDxfId="702" dataCellStyle="Normal 2"/>
    <tableColumn id="4" xr3:uid="{5DF3A139-4CBE-48FF-B8D2-330BF7676D1A}" name="10/31/14" dataDxfId="701" dataCellStyle="Normal 2"/>
    <tableColumn id="5" xr3:uid="{57DDE1D4-D7FD-4D90-B779-BEA256866F53}" name="10/31/15" dataDxfId="700" dataCellStyle="Normal 2"/>
    <tableColumn id="6" xr3:uid="{6BA57593-691E-46B9-9AC9-E807BBD9E995}" name="10/31/16" dataDxfId="699" dataCellStyle="Normal 2"/>
    <tableColumn id="7" xr3:uid="{55E32BDF-1EF7-4832-B29B-B4C02CF93D36}" name="10/31/17" dataDxfId="698" dataCellStyle="Normal 2"/>
    <tableColumn id="8" xr3:uid="{D46DDCC2-C820-4FF2-BCB5-7A1FFF82C854}" name="10/31/18" dataDxfId="697" dataCellStyle="Normal 2"/>
    <tableColumn id="9" xr3:uid="{E847834B-80C8-45D9-BEF4-C972F5ABF5C6}" name="10/31/19" dataDxfId="696" dataCellStyle="Normal 2"/>
    <tableColumn id="10" xr3:uid="{29ADB446-C033-4770-A76A-49B391D0F40E}" name="10/31/20" dataDxfId="695" dataCellStyle="Normal 2"/>
    <tableColumn id="11" xr3:uid="{DF5C440C-5EE2-4B4F-861D-111C6225787D}" name="10/31/21" dataDxfId="694" dataCellStyle="Normal 2"/>
    <tableColumn id="2" xr3:uid="{41CB1776-1411-41B0-BF69-AB33C3369391}" name="10/31/22" dataDxfId="693" dataCellStyle="Normal 2"/>
    <tableColumn id="14" xr3:uid="{184DF92B-3441-4FF0-B358-3043F62EA484}" name="10/31/23" dataDxfId="692" dataCellStyle="Normal 2"/>
    <tableColumn id="12" xr3:uid="{A2E193BF-A26D-4E5E-B307-261607AAB8BE}" name="YoY D#" dataDxfId="691" dataCellStyle="Normal 2">
      <calculatedColumnFormula>O464-N464</calculatedColumnFormula>
    </tableColumn>
    <tableColumn id="13" xr3:uid="{12E74D5D-48FA-42E2-B2EE-9869067A1F27}" name="YoY D%" dataDxfId="690" dataCellStyle="Normal 2">
      <calculatedColumnFormula>IF(N464&lt;&gt;0,P464/N464,"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72EF27BC-E173-4C3E-8A33-F45B73288C13}" name="Table3292152" displayName="Table3292152" ref="D478:Q484" totalsRowCount="1" headerRowDxfId="689" dataDxfId="687" totalsRowDxfId="685" headerRowBorderDxfId="688" tableBorderDxfId="686" headerRowCellStyle="Normal 2" dataCellStyle="Normal 2">
  <tableColumns count="14">
    <tableColumn id="1" xr3:uid="{78490DC3-F674-4331-971D-BA2627B74D37}" name="Metric" dataDxfId="684" totalsRowDxfId="683" dataCellStyle="Normal 2" totalsRowCellStyle="Normal 2"/>
    <tableColumn id="3" xr3:uid="{17EC0DC2-4A89-483D-86C8-3523A4398D49}" name="10/31/13" dataDxfId="682" totalsRowDxfId="681" dataCellStyle="Normal 2" totalsRowCellStyle="Normal 2"/>
    <tableColumn id="4" xr3:uid="{1F2AACB8-A4CF-4BEF-A44A-C9BFEDEF6556}" name="10/31/14" dataDxfId="680" totalsRowDxfId="679" dataCellStyle="Normal 2" totalsRowCellStyle="Normal 2"/>
    <tableColumn id="5" xr3:uid="{1BEF6229-6BB8-4A13-A17A-763F7BC6BE5C}" name="10/31/15" dataDxfId="678" totalsRowDxfId="677" dataCellStyle="Normal 2" totalsRowCellStyle="Normal 2"/>
    <tableColumn id="6" xr3:uid="{DD74EA78-F930-4C6A-9DDE-8979BCFF9724}" name="10/31/16" dataDxfId="676" totalsRowDxfId="675" dataCellStyle="Normal 2" totalsRowCellStyle="Normal 2"/>
    <tableColumn id="7" xr3:uid="{C7A8A519-84A5-4A67-A2FF-9CB507C526AF}" name="10/31/17" dataDxfId="674" totalsRowDxfId="673" dataCellStyle="Normal 2" totalsRowCellStyle="Normal 2"/>
    <tableColumn id="8" xr3:uid="{69AEA3C4-E9F1-447B-9F7D-71FE214ECBB3}" name="10/31/18" dataDxfId="672" totalsRowDxfId="671" dataCellStyle="Normal 2" totalsRowCellStyle="Normal 2"/>
    <tableColumn id="9" xr3:uid="{E73ECC62-DD3C-4D72-BD2C-A5CD6D3FBD2E}" name="10/31/19" dataDxfId="670" totalsRowDxfId="669" dataCellStyle="Normal 2" totalsRowCellStyle="Normal 2"/>
    <tableColumn id="10" xr3:uid="{84159EF8-9DC4-4AAC-BBD0-1E7BB4F35D81}" name="10/31/20" dataDxfId="668" totalsRowDxfId="667" dataCellStyle="Normal 2" totalsRowCellStyle="Normal 2"/>
    <tableColumn id="11" xr3:uid="{2E840B9E-EFCA-4724-B006-83335CBE0366}" name="10/31/21" dataDxfId="666" totalsRowDxfId="665" dataCellStyle="Normal 2" totalsRowCellStyle="Normal 2"/>
    <tableColumn id="2" xr3:uid="{BAEBA27D-D9C4-4900-A5A6-A790890C485E}" name="10/31/22" dataDxfId="664" totalsRowDxfId="663" dataCellStyle="Normal 2" totalsRowCellStyle="Normal 2"/>
    <tableColumn id="14" xr3:uid="{495888A1-5FED-4313-B343-D3FC5EC2F6F7}" name="10/31/23" dataDxfId="662" totalsRowDxfId="661" dataCellStyle="Normal 2" totalsRowCellStyle="Normal 2"/>
    <tableColumn id="12" xr3:uid="{AE1B12F3-003A-4172-87C9-AFB44FB2635B}" name="YoY D#" dataDxfId="660" totalsRowDxfId="659" dataCellStyle="Normal 2" totalsRowCellStyle="Normal 2">
      <calculatedColumnFormula>Table3292152[[#This Row],[10/31/23]]-Table3292152[[#This Row],[10/31/22]]</calculatedColumnFormula>
    </tableColumn>
    <tableColumn id="13" xr3:uid="{E3952DDB-F740-46B7-B1F4-FFBD35EEB3EE}" name="YoY D%" dataDxfId="658" totalsRowDxfId="657" dataCellStyle="Normal 2" totalsRowCellStyle="Normal 2">
      <calculatedColumnFormula>IF(O479&lt;&gt;0,P479/O479,"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AB9F54C8-E602-4F24-93E3-24D15D6759A6}" name="Table3393153" displayName="Table3393153" ref="D489:Q495" totalsRowCount="1" headerRowDxfId="656" dataDxfId="654" totalsRowDxfId="652" headerRowBorderDxfId="655" tableBorderDxfId="653" headerRowCellStyle="Normal 2" dataCellStyle="Comma">
  <tableColumns count="14">
    <tableColumn id="1" xr3:uid="{2808FA7A-202D-46BA-8BC5-40151AB46BBB}" name="Metric" dataDxfId="651" totalsRowDxfId="650" dataCellStyle="Normal 2" totalsRowCellStyle="Normal 2"/>
    <tableColumn id="3" xr3:uid="{CDDE29A9-CB1B-4638-B76E-FEDD39EBF02B}" name="10/31/13" dataDxfId="649" totalsRowDxfId="648" dataCellStyle="Normal 2" totalsRowCellStyle="Normal 2"/>
    <tableColumn id="4" xr3:uid="{C277A4D3-359D-4F82-B7FE-35C635C1B48F}" name="10/31/14" dataDxfId="647" totalsRowDxfId="646" dataCellStyle="Normal 2" totalsRowCellStyle="Normal 2"/>
    <tableColumn id="5" xr3:uid="{3A67CE52-3BA4-4C13-9DBB-791DCE4E4C14}" name="10/31/15" dataDxfId="645" totalsRowDxfId="644" dataCellStyle="Normal 2" totalsRowCellStyle="Normal 2"/>
    <tableColumn id="6" xr3:uid="{E5BE1480-85AF-47C4-9F52-BD5C3F2688DE}" name="10/31/16" dataDxfId="643" totalsRowDxfId="642" dataCellStyle="Normal 2" totalsRowCellStyle="Normal 2"/>
    <tableColumn id="7" xr3:uid="{8EA7D088-E64B-42B7-9792-1FC9E82BE8CA}" name="10/31/17" dataDxfId="641" totalsRowDxfId="640" dataCellStyle="Normal 2" totalsRowCellStyle="Normal 2"/>
    <tableColumn id="8" xr3:uid="{0C80F134-8DDA-4760-AFF6-CB657433DF42}" name="10/31/18" dataDxfId="639" totalsRowDxfId="638" dataCellStyle="Comma" totalsRowCellStyle="Comma"/>
    <tableColumn id="9" xr3:uid="{E6D6A6C9-6D69-4EB7-9362-B1EE27BAC0A7}" name="10/31/19" dataDxfId="637" totalsRowDxfId="636" dataCellStyle="Comma" totalsRowCellStyle="Comma"/>
    <tableColumn id="10" xr3:uid="{A1122025-4559-400A-8BE3-E151936CBF2D}" name="10/31/20" dataDxfId="635" totalsRowDxfId="634" dataCellStyle="Comma" totalsRowCellStyle="Comma"/>
    <tableColumn id="11" xr3:uid="{B061A2BF-2796-4D5F-99E5-41800C18A8A8}" name="10/31/21" dataDxfId="633" totalsRowDxfId="632" dataCellStyle="Comma" totalsRowCellStyle="Comma"/>
    <tableColumn id="2" xr3:uid="{88B2EB2E-7046-4248-BD43-4A85E43C1CFB}" name="10/31/22" dataDxfId="631" totalsRowDxfId="630" dataCellStyle="Comma" totalsRowCellStyle="Comma"/>
    <tableColumn id="14" xr3:uid="{A31FC2AB-EC09-4D6C-8579-F86B67667779}" name="10/31/23" dataDxfId="629" totalsRowDxfId="628" dataCellStyle="Comma" totalsRowCellStyle="Comma"/>
    <tableColumn id="12" xr3:uid="{9FA9F55A-BB8B-49B1-A62D-516A4D282442}" name="YoY D#" dataDxfId="627" totalsRowDxfId="626" dataCellStyle="Normal 2" totalsRowCellStyle="Normal 2">
      <calculatedColumnFormula>Table3393153[[#This Row],[10/31/23]]-Table3393153[[#This Row],[10/31/22]]</calculatedColumnFormula>
    </tableColumn>
    <tableColumn id="13" xr3:uid="{87BDE0D2-4A76-4021-A564-6594CA618D77}" name="YoY D%" dataDxfId="625" totalsRowDxfId="624" dataCellStyle="Normal 2" totalsRowCellStyle="Normal 2">
      <calculatedColumnFormula>IF(O490&lt;&gt;0,P490/O490,"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67331188-F653-4663-B36B-AE3CAE01B12D}" name="Table3494154" displayName="Table3494154" ref="D497:Q502" totalsRowShown="0" headerRowDxfId="623" dataDxfId="621" headerRowBorderDxfId="622" tableBorderDxfId="620" headerRowCellStyle="Normal 2">
  <tableColumns count="14">
    <tableColumn id="1" xr3:uid="{FC34981A-0DCF-4195-A8C5-8F23DF0C9D79}" name="Metric" dataDxfId="619" dataCellStyle="Normal 2"/>
    <tableColumn id="3" xr3:uid="{6BC9A8C4-7CB9-440C-B2C1-DF35816D1B4F}" name="10/31/13" dataDxfId="618" dataCellStyle="Normal 2"/>
    <tableColumn id="4" xr3:uid="{652E7BC0-A975-44A5-B4CD-BB8A923C8EFE}" name="10/31/14" dataDxfId="617" dataCellStyle="Normal 2"/>
    <tableColumn id="5" xr3:uid="{072CC950-4D77-4F79-B611-84F3306524D9}" name="10/31/15" dataDxfId="616" dataCellStyle="Normal 2"/>
    <tableColumn id="6" xr3:uid="{14E5F5B1-CBDE-4E4B-B091-94803B0134FB}" name="10/31/16" dataDxfId="615" dataCellStyle="Normal 2"/>
    <tableColumn id="7" xr3:uid="{0299CFCF-C3E2-452B-90B1-1B82B79AC05D}" name="10/31/17" dataDxfId="614" dataCellStyle="Normal 2"/>
    <tableColumn id="8" xr3:uid="{FC735441-3D78-43EC-B045-83B5C56C73A6}" name="10/31/18" dataDxfId="613"/>
    <tableColumn id="9" xr3:uid="{D3C53848-BAD6-4E68-91BD-D11A3BA6F66D}" name="10/31/19" dataDxfId="612"/>
    <tableColumn id="10" xr3:uid="{4E9BD9FF-724F-41D9-9575-62B9258A4EAC}" name="10/31/20" dataDxfId="611"/>
    <tableColumn id="11" xr3:uid="{B8ACA063-37EA-43A0-B576-30400E66C02A}" name="10/31/21" dataDxfId="610"/>
    <tableColumn id="2" xr3:uid="{5A1F5150-144F-4AFE-B548-16B3A8AF7774}" name="10/31/22" dataDxfId="609"/>
    <tableColumn id="14" xr3:uid="{BCBC4601-2427-4931-AE9E-C391F05AECA1}" name="10/31/23" dataDxfId="608"/>
    <tableColumn id="12" xr3:uid="{46470203-A778-49D8-90CA-C9B283F8DCEF}" name="YoY D#" dataDxfId="607" dataCellStyle="Normal 2">
      <calculatedColumnFormula>Table3494154[[#This Row],[10/31/23]]-Table3494154[[#This Row],[10/31/22]]</calculatedColumnFormula>
    </tableColumn>
    <tableColumn id="13" xr3:uid="{49C9C1B0-6346-4AC9-BFF9-BEBF933725D4}" name="YoY D%" dataDxfId="606" dataCellStyle="Normal 2">
      <calculatedColumnFormula>IF(O498&lt;&gt;0,P498/O498,"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A1EB0E98-F4A1-40A8-AACE-43052237865E}" name="Table3595155" displayName="Table3595155" ref="D505:Q510" totalsRowShown="0" headerRowDxfId="605" dataDxfId="603" headerRowBorderDxfId="604" tableBorderDxfId="602" headerRowCellStyle="Normal 2" dataCellStyle="Normal 2">
  <tableColumns count="14">
    <tableColumn id="1" xr3:uid="{3ACC3580-31DB-4EB7-8E52-2993B1C47FB3}" name="Metric" dataDxfId="601" dataCellStyle="Normal 2"/>
    <tableColumn id="3" xr3:uid="{240DEDCB-A98A-41D0-B458-C6379E97B911}" name="10/31/13" dataDxfId="600" dataCellStyle="Normal 2"/>
    <tableColumn id="4" xr3:uid="{D5DA855D-E806-46FF-9C96-BA138AA3B1E7}" name="10/31/14" dataDxfId="599" dataCellStyle="Normal 2"/>
    <tableColumn id="5" xr3:uid="{CAA9E4DB-D453-4EE5-A055-D1515E134D5E}" name="10/31/15" dataDxfId="598" dataCellStyle="Normal 2"/>
    <tableColumn id="6" xr3:uid="{3BF15CF0-5FAC-4EDD-8748-C8482D1E33B5}" name="10/31/16" dataDxfId="597" dataCellStyle="Normal 2"/>
    <tableColumn id="7" xr3:uid="{B9C9431D-73DE-4F64-BA4A-1A0DA3BE526D}" name="10/31/17" dataDxfId="596" dataCellStyle="Normal 2"/>
    <tableColumn id="8" xr3:uid="{93E265EC-C1DB-483E-8531-B622002C5DD7}" name="10/31/18" dataDxfId="595" dataCellStyle="Normal 2"/>
    <tableColumn id="9" xr3:uid="{F5BA7F03-4801-4CCE-A636-91E0F09D301E}" name="10/31/19" dataDxfId="594" dataCellStyle="Normal 2"/>
    <tableColumn id="10" xr3:uid="{D49C6333-DE40-4AF8-A45B-7DCFE7C78090}" name="10/31/20" dataDxfId="593" dataCellStyle="Normal 2"/>
    <tableColumn id="11" xr3:uid="{20F111B2-68C1-482A-9685-192DA9F8C12D}" name="10/31/21" dataDxfId="592" dataCellStyle="Normal 2"/>
    <tableColumn id="2" xr3:uid="{C1F92A7F-CE2A-4DE9-AE99-40C76040C8E5}" name="10/31/22" dataDxfId="591" dataCellStyle="Normal 2"/>
    <tableColumn id="14" xr3:uid="{9695730F-FFCD-4EF4-A0C5-1B66F1FEAA28}" name="10/31/23" dataDxfId="590" dataCellStyle="Normal 2"/>
    <tableColumn id="12" xr3:uid="{735EA6D6-AA1A-4F43-9890-133194431D81}" name="YoY D#" dataDxfId="589" dataCellStyle="Normal 2">
      <calculatedColumnFormula>Table3595155[[#This Row],[10/31/23]]-Table3595155[[#This Row],[10/31/22]]</calculatedColumnFormula>
    </tableColumn>
    <tableColumn id="13" xr3:uid="{F9341CBC-0248-45EC-A5F5-8B065FFC0341}" name="YoY D%" dataDxfId="588" dataCellStyle="Normal 2">
      <calculatedColumnFormula>IF(O506&lt;&gt;0,P506/O506,"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79E10422-1FCD-4985-B6DC-8FD58A3CB1B6}" name="Table3696156" displayName="Table3696156" ref="D538:Q551" totalsRowCount="1" headerRowDxfId="587" dataDxfId="585" totalsRowDxfId="583" headerRowBorderDxfId="586" tableBorderDxfId="584" headerRowCellStyle="Normal 2" dataCellStyle="Normal 2">
  <tableColumns count="14">
    <tableColumn id="1" xr3:uid="{94951C8E-016E-469F-98AD-664F1B99D399}" name="Metric" dataDxfId="582" totalsRowDxfId="581" dataCellStyle="Normal 2" totalsRowCellStyle="Normal 2"/>
    <tableColumn id="3" xr3:uid="{E3EFF412-7038-4361-BEB6-0D64B8EFFE0B}" name="10/31/13" dataDxfId="580" totalsRowDxfId="579" dataCellStyle="Normal 2" totalsRowCellStyle="Normal 2"/>
    <tableColumn id="4" xr3:uid="{C9CB5A15-B4DA-45F0-8EB2-B26E7B312BFE}" name="10/31/14" dataDxfId="578" totalsRowDxfId="577" dataCellStyle="Normal 2" totalsRowCellStyle="Normal 2"/>
    <tableColumn id="5" xr3:uid="{BE62CD9F-4D1B-487B-942F-615C3BDAA6B2}" name="10/31/15" dataDxfId="576" totalsRowDxfId="575" dataCellStyle="Normal 2" totalsRowCellStyle="Normal 2"/>
    <tableColumn id="6" xr3:uid="{2CB9F8FD-0285-4E42-A619-67D8CE9C366E}" name="10/31/16" dataDxfId="574" totalsRowDxfId="573" dataCellStyle="Normal 2" totalsRowCellStyle="Normal 2"/>
    <tableColumn id="7" xr3:uid="{9DD5F632-8851-46B8-B20D-13881BA166F8}" name="10/31/17" dataDxfId="572" totalsRowDxfId="571" dataCellStyle="Normal 2" totalsRowCellStyle="Normal 2"/>
    <tableColumn id="8" xr3:uid="{F19C494A-C5B4-4D16-8B84-B818B1A1D785}" name="10/31/18" dataDxfId="570" totalsRowDxfId="569" dataCellStyle="Normal 2" totalsRowCellStyle="Normal 2"/>
    <tableColumn id="9" xr3:uid="{A2390ACB-6689-4B2A-80F7-E7FC628972F2}" name="10/31/19" dataDxfId="568" totalsRowDxfId="567" dataCellStyle="Normal 2" totalsRowCellStyle="Normal 2"/>
    <tableColumn id="10" xr3:uid="{B48ED54B-6AC4-4B9A-B3D2-23FD2DBDFFED}" name="10/31/20" dataDxfId="566" totalsRowDxfId="565" dataCellStyle="Normal 2" totalsRowCellStyle="Normal 2"/>
    <tableColumn id="11" xr3:uid="{9B56A677-4DD6-4E60-BA5B-C59494B4EDBD}" name="10/31/21" dataDxfId="564" totalsRowDxfId="563" dataCellStyle="Normal 2" totalsRowCellStyle="Normal 2"/>
    <tableColumn id="2" xr3:uid="{49F96C5C-A254-46EB-AE83-45F4DBBDAC8D}" name="10/31/22" dataDxfId="562" totalsRowDxfId="561" dataCellStyle="Normal 2" totalsRowCellStyle="Normal 2"/>
    <tableColumn id="14" xr3:uid="{60D292A7-540B-4CFA-B5B5-E6EB1A35D99A}" name="10/31/23" dataDxfId="560" totalsRowDxfId="559" dataCellStyle="Normal 2" totalsRowCellStyle="Normal 2"/>
    <tableColumn id="12" xr3:uid="{F6F4A981-ED30-44F0-A77A-FDDB60FBE775}" name="YoY D#" dataDxfId="558" totalsRowDxfId="557" dataCellStyle="Normal 2" totalsRowCellStyle="Normal 2">
      <calculatedColumnFormula>N539-M539</calculatedColumnFormula>
    </tableColumn>
    <tableColumn id="13" xr3:uid="{5D1E2979-9829-4638-A5B9-56357A27F4B6}" name="YoY D%" dataDxfId="556" totalsRowDxfId="555" dataCellStyle="Normal 2" totalsRowCellStyle="Normal 2">
      <calculatedColumnFormula>IF(O539&lt;&gt;0,P539/O539,"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7ED63671-9640-4780-9E13-A68857863DF6}" name="Table3797157" displayName="Table3797157" ref="D553:Q558" totalsRowShown="0" headerRowDxfId="554" dataDxfId="552" headerRowBorderDxfId="553" tableBorderDxfId="551" headerRowCellStyle="Normal 2" dataCellStyle="Normal 2">
  <tableColumns count="14">
    <tableColumn id="1" xr3:uid="{6F0CBA5B-313A-4C0F-B0B1-E5B1C1A51E64}" name="Metric" dataDxfId="550" dataCellStyle="Normal 2"/>
    <tableColumn id="3" xr3:uid="{52577F1A-302C-4D83-9EBB-D90E92538016}" name="10/31/13" dataDxfId="549" dataCellStyle="Normal 2"/>
    <tableColumn id="4" xr3:uid="{BD90EB60-3764-440E-92AD-3EE6239A2AC0}" name="10/31/14" dataDxfId="548" dataCellStyle="Normal 2"/>
    <tableColumn id="5" xr3:uid="{A3DA4229-70D4-4983-9E17-2CC73C904603}" name="10/31/15" dataDxfId="547" dataCellStyle="Normal 2"/>
    <tableColumn id="6" xr3:uid="{1857161E-1D83-4D0E-BBBD-940B3DF04D8B}" name="10/31/16" dataDxfId="546" dataCellStyle="Normal 2"/>
    <tableColumn id="7" xr3:uid="{F18C9F83-4528-4FD6-AED0-237262CF9260}" name="10/31/17" dataDxfId="545" dataCellStyle="Normal 2"/>
    <tableColumn id="8" xr3:uid="{958CDA47-2B80-4223-B8E3-81CA59C8D1B3}" name="10/31/18" dataDxfId="544" dataCellStyle="Normal 2"/>
    <tableColumn id="9" xr3:uid="{EEE0F5A7-F451-44D3-9DC2-D2A9BE37AB7E}" name="10/31/19" dataDxfId="543" dataCellStyle="Normal 2"/>
    <tableColumn id="10" xr3:uid="{4E3EF694-8104-4199-B86A-8FF2B8662AC4}" name="10/31/20" dataDxfId="542" dataCellStyle="Normal 2"/>
    <tableColumn id="11" xr3:uid="{342FD6F9-4A25-465E-BCCE-0C21BAB2945D}" name="10/31/21" dataDxfId="541" dataCellStyle="Normal 2"/>
    <tableColumn id="2" xr3:uid="{F9E930BA-4DC9-43E3-B5A7-9824E1EDCB2E}" name="10/31/22" dataDxfId="540" dataCellStyle="Normal 2"/>
    <tableColumn id="14" xr3:uid="{7620CB33-950A-4F83-8692-6118E557AD02}" name="10/31/23" dataDxfId="539" dataCellStyle="Normal 2"/>
    <tableColumn id="12" xr3:uid="{48260112-78BA-4930-A552-7F56CFA3E31B}" name="YoY D#" dataDxfId="538" dataCellStyle="Normal 2">
      <calculatedColumnFormula>Table3797157[[#This Row],[10/31/23]]-Table3797157[[#This Row],[10/31/22]]</calculatedColumnFormula>
    </tableColumn>
    <tableColumn id="13" xr3:uid="{11FF77B4-E6E2-45D0-B2D1-D638229DF32A}" name="YoY D%" dataDxfId="537" dataCellStyle="Normal 2">
      <calculatedColumnFormula>IF(O554&lt;&gt;0,P554/O554,"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57A0EA2F-45D0-4744-95D7-09BB9EFDB982}" name="Table3898158" displayName="Table3898158" ref="D564:Q569" totalsRowShown="0" headerRowDxfId="536" dataDxfId="534" headerRowBorderDxfId="535" tableBorderDxfId="533" headerRowCellStyle="Normal 2" dataCellStyle="Comma">
  <tableColumns count="14">
    <tableColumn id="1" xr3:uid="{BB732574-1BDB-4BCF-8730-FE1CA19EFA03}" name="Metric" dataDxfId="532" dataCellStyle="Normal 2"/>
    <tableColumn id="3" xr3:uid="{37565C75-26F9-4C5D-96EE-25CBA8ECE028}" name="10/31/13" dataDxfId="531" dataCellStyle="Normal 2"/>
    <tableColumn id="4" xr3:uid="{718F54DF-0211-458E-9ADC-CF716B1DF2CB}" name="10/31/14" dataDxfId="530" dataCellStyle="Normal 2"/>
    <tableColumn id="5" xr3:uid="{DA7AEA98-BF31-4174-AD2D-CA56DB24A5AC}" name="10/31/15" dataDxfId="529" dataCellStyle="Normal 2"/>
    <tableColumn id="6" xr3:uid="{A6B2FE5D-FBBC-443C-8056-A4CE1C2DEAAA}" name="10/31/16" dataDxfId="528" dataCellStyle="Normal 2"/>
    <tableColumn id="7" xr3:uid="{5647A324-70A9-4BF5-A678-394F475351AD}" name="10/31/17" dataDxfId="527" dataCellStyle="Normal 2"/>
    <tableColumn id="8" xr3:uid="{EF2B43A8-30D9-4E61-A177-1D1F9DC60470}" name="10/31/18" dataDxfId="526" dataCellStyle="Comma"/>
    <tableColumn id="9" xr3:uid="{EAE49439-0CB2-4EC4-93F0-6F1B31363BCD}" name="10/31/19" dataDxfId="525" dataCellStyle="Comma"/>
    <tableColumn id="10" xr3:uid="{EE56BB79-CF47-488C-B5E1-234583AC4EA8}" name="10/31/20" dataDxfId="524" dataCellStyle="Comma"/>
    <tableColumn id="11" xr3:uid="{7C332B8C-DCEA-4E16-BEBD-6460E5FA5EE0}" name="10/31/21" dataDxfId="523" dataCellStyle="Comma"/>
    <tableColumn id="2" xr3:uid="{354622C1-B4A5-44B3-9B29-434364496CE7}" name="10/31/22" dataDxfId="522" dataCellStyle="Comma"/>
    <tableColumn id="14" xr3:uid="{5C31228C-B875-4BAB-AC36-F835B8F4F286}" name="10/31/23" dataDxfId="521" dataCellStyle="Comma"/>
    <tableColumn id="12" xr3:uid="{328695FF-F000-4331-8159-55B8803AF85A}" name="YoY D#" dataDxfId="520" dataCellStyle="Normal 2">
      <calculatedColumnFormula>O565-N565</calculatedColumnFormula>
    </tableColumn>
    <tableColumn id="13" xr3:uid="{62557081-3A9F-4536-9A40-8FEF4534847C}" name="YoY D%" dataDxfId="519" dataCellStyle="Normal 2">
      <calculatedColumnFormula>IF(O565&lt;&gt;0,P565/O565,"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6ADF26D1-7443-421A-8DD3-908953D3493E}" name="Table3999159" displayName="Table3999159" ref="D572:Q577" totalsRowShown="0" headerRowDxfId="518" dataDxfId="516" headerRowBorderDxfId="517" tableBorderDxfId="515" headerRowCellStyle="Normal 2">
  <tableColumns count="14">
    <tableColumn id="1" xr3:uid="{39B256AF-6F23-4B75-A6A2-A5B2EC388D4C}" name="Metric" dataDxfId="514" dataCellStyle="Normal 2"/>
    <tableColumn id="3" xr3:uid="{9AF71712-BEB4-4EF4-854E-7C63FC686986}" name="10/31/13" dataDxfId="513" dataCellStyle="Normal 2"/>
    <tableColumn id="4" xr3:uid="{B09E3560-4695-4F77-8825-6B046463E8A9}" name="10/31/14" dataDxfId="512" dataCellStyle="Normal 2"/>
    <tableColumn id="5" xr3:uid="{4C72E2CC-2E03-4DF9-91EA-0C7165A072A9}" name="10/31/15" dataDxfId="511" dataCellStyle="Normal 2"/>
    <tableColumn id="6" xr3:uid="{FF0145C6-45E5-443D-947F-25601A5C3BD1}" name="10/31/16" dataDxfId="510" dataCellStyle="Normal 2"/>
    <tableColumn id="7" xr3:uid="{B515AB5C-1B83-4F2C-B3D4-E6496BAE7A7E}" name="10/31/17" dataDxfId="509" dataCellStyle="Normal 2"/>
    <tableColumn id="8" xr3:uid="{7B65B539-6D76-4E3B-91B0-686D5C704013}" name="10/31/18" dataDxfId="508"/>
    <tableColumn id="9" xr3:uid="{096DC9A9-33F1-4CF7-994A-508AA3C79A24}" name="10/31/19" dataDxfId="507"/>
    <tableColumn id="10" xr3:uid="{35DEDCD6-87BC-4333-81D2-F92D7A94C1AB}" name="10/31/20" dataDxfId="506"/>
    <tableColumn id="11" xr3:uid="{EBEB9561-BC2F-4B94-835E-52944E5D41D0}" name="10/31/21" dataDxfId="505"/>
    <tableColumn id="2" xr3:uid="{320632F1-D503-4C9F-84F2-A257D0E6BCEA}" name="10/31/22" dataDxfId="504"/>
    <tableColumn id="14" xr3:uid="{18AF84FA-7E4D-4B51-A5EF-E9E7C057561D}" name="10/31/23" dataDxfId="503"/>
    <tableColumn id="12" xr3:uid="{FF13CAB0-6AE4-43A5-96D7-EB4589F43D90}" name="YoY D#" dataDxfId="502" dataCellStyle="Normal 2">
      <calculatedColumnFormula>O573-N573</calculatedColumnFormula>
    </tableColumn>
    <tableColumn id="13" xr3:uid="{85F4901F-3844-4673-B7C2-BA0539DC6039}" name="YoY D%" dataDxfId="501" dataCellStyle="Normal 2">
      <calculatedColumnFormula>IF(O573&lt;&gt;0,P573/O573,"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1CF05AE5-6767-4D9E-B610-95A7C158C882}" name="Table40100160" displayName="Table40100160" ref="D580:Q586" totalsRowCount="1" headerRowDxfId="500" dataDxfId="498" totalsRowDxfId="496" headerRowBorderDxfId="499" tableBorderDxfId="497" headerRowCellStyle="Normal 2" dataCellStyle="Normal 2">
  <tableColumns count="14">
    <tableColumn id="1" xr3:uid="{9F2C80BF-24DA-4A73-AF11-BD877047FE31}" name="Metric" dataDxfId="495" totalsRowDxfId="494" dataCellStyle="Normal 2"/>
    <tableColumn id="3" xr3:uid="{D25D1B14-34F4-4EDE-873A-9355FED4A103}" name="10/31/13" dataDxfId="493" totalsRowDxfId="492" dataCellStyle="Normal 2"/>
    <tableColumn id="4" xr3:uid="{12A2CAE3-15D2-4F06-B451-0B2CF545FF3B}" name="10/31/14" dataDxfId="491" totalsRowDxfId="490" dataCellStyle="Normal 2"/>
    <tableColumn id="5" xr3:uid="{C38F7093-C351-45D9-876F-986472816591}" name="10/31/15" dataDxfId="489" totalsRowDxfId="488" dataCellStyle="Normal 2"/>
    <tableColumn id="6" xr3:uid="{66AF580C-B200-4855-B6EC-0A4A61D77EAE}" name="10/31/16" dataDxfId="487" totalsRowDxfId="486" dataCellStyle="Normal 2"/>
    <tableColumn id="7" xr3:uid="{A8D39AAB-FBBF-4E50-8E50-2E5933CAF3B8}" name="10/31/17" dataDxfId="485" totalsRowDxfId="484" dataCellStyle="Normal 2"/>
    <tableColumn id="8" xr3:uid="{E03067EF-6969-47D3-BD6E-E9F58002DC15}" name="10/31/18" dataDxfId="483" totalsRowDxfId="482" dataCellStyle="Normal 2"/>
    <tableColumn id="9" xr3:uid="{10EAC208-B685-4DB2-A4B0-B216F728BA22}" name="10/31/19" dataDxfId="481" totalsRowDxfId="480" dataCellStyle="Normal 2"/>
    <tableColumn id="10" xr3:uid="{3235662C-BAD8-4637-BB6D-873DC2E99863}" name="10/31/20" dataDxfId="479" totalsRowDxfId="478" dataCellStyle="Normal 2"/>
    <tableColumn id="11" xr3:uid="{ECC10B20-5DD2-427F-A1B2-38AC98C6DFEC}" name="10/31/21" dataDxfId="477" totalsRowDxfId="476" dataCellStyle="Normal 2"/>
    <tableColumn id="2" xr3:uid="{1A0DD804-C9F3-41C0-920D-73AC691670F8}" name="10/31/22" dataDxfId="475" totalsRowDxfId="474" dataCellStyle="Normal 2"/>
    <tableColumn id="14" xr3:uid="{9A20C26D-8C88-455C-B0CC-D778D129372F}" name="10/31/23" dataDxfId="473" totalsRowDxfId="472" dataCellStyle="Normal 2"/>
    <tableColumn id="12" xr3:uid="{4BDA1578-D4A6-41DF-8B95-DA60D75DB595}" name="YoY D#" dataDxfId="471" totalsRowDxfId="470" dataCellStyle="Normal 2">
      <calculatedColumnFormula>O581-N581</calculatedColumnFormula>
    </tableColumn>
    <tableColumn id="13" xr3:uid="{32C83E71-D9EC-4B6C-B1CC-806D2ADA4438}" name="YoY D%" dataDxfId="469" totalsRowDxfId="468" dataCellStyle="Normal 2">
      <calculatedColumnFormula>IF(O581&lt;&gt;0,P581/O581,"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81A1F18-3597-4B7A-B20F-BBB8F7AFA124}" name="Table865125" displayName="Table865125" ref="D46:Q51" totalsRowShown="0" headerRowDxfId="1186" dataDxfId="1185" headerRowCellStyle="Normal 2">
  <tableColumns count="14">
    <tableColumn id="1" xr3:uid="{411B599C-E567-4B41-9338-1FBA1A3BCCB9}" name="Metric" dataDxfId="1184" dataCellStyle="Normal 2"/>
    <tableColumn id="3" xr3:uid="{BF71D897-FA6F-4292-9EA1-5BF3C0E06F92}" name="10/31/13" dataDxfId="1183" dataCellStyle="Normal 2"/>
    <tableColumn id="4" xr3:uid="{E7F1E006-C578-4CD2-BD29-5A6A0F418A48}" name="10/31/14" dataDxfId="1182" dataCellStyle="Normal 2"/>
    <tableColumn id="5" xr3:uid="{C3D29222-C84B-4E26-9859-5E4139131B57}" name="10/31/15" dataDxfId="1181" dataCellStyle="Normal 2"/>
    <tableColumn id="6" xr3:uid="{A17BB538-053D-4BC7-BB46-F8F5AB3CB1B3}" name="10/31/16" dataDxfId="1180" dataCellStyle="Normal 2"/>
    <tableColumn id="7" xr3:uid="{BBA58ECC-A905-486C-A5F4-4738C7C6A053}" name="10/31/17" dataDxfId="1179" dataCellStyle="Normal 2"/>
    <tableColumn id="8" xr3:uid="{7ACDA536-18DA-46C7-B51A-F85BB910484D}" name="10/31/18" dataDxfId="1178"/>
    <tableColumn id="9" xr3:uid="{6D4EBDFC-EA56-4D8C-B7AA-7B9B992ACD59}" name="10/31/19" dataDxfId="1177"/>
    <tableColumn id="10" xr3:uid="{CF148764-EED5-44E6-A0C4-8BC5D0F0548D}" name="10/31/20" dataDxfId="1176"/>
    <tableColumn id="11" xr3:uid="{9B5962CE-4E1C-4C0D-A2C3-4BC38A2D2098}" name="10/31/21" dataDxfId="1175"/>
    <tableColumn id="2" xr3:uid="{66B9C31C-DB21-4A08-B080-FDD7CC8BE503}" name="10/31/22" dataDxfId="1174"/>
    <tableColumn id="14" xr3:uid="{7C9595EA-6B9A-40D5-AD9A-2A00C88BFE56}" name="10/31/23" dataDxfId="1173"/>
    <tableColumn id="12" xr3:uid="{1A2B6ECD-9FBA-4BAF-B9F1-F6137729EB2D}" name="YoY D#" dataDxfId="1172" dataCellStyle="Normal 2">
      <calculatedColumnFormula>O47-N47</calculatedColumnFormula>
    </tableColumn>
    <tableColumn id="13" xr3:uid="{9A5876BC-2C09-45B1-9FA1-7362A0C5A7B5}" name="YoY D%" dataDxfId="1171" dataCellStyle="Normal 2">
      <calculatedColumnFormula>IF(O47&lt;&gt;0,P47/O47,"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F5627368-8794-4A45-B8F4-D7E04FA01144}" name="Table41101161" displayName="Table41101161" ref="D613:Q625" totalsRowShown="0" headerRowDxfId="467" dataDxfId="465" headerRowBorderDxfId="466" tableBorderDxfId="464" headerRowCellStyle="Normal 2" dataCellStyle="Normal 2">
  <tableColumns count="14">
    <tableColumn id="1" xr3:uid="{3A23F639-A793-41A6-B22A-1E345D45C50D}" name="Metric" dataDxfId="463" dataCellStyle="Normal 2"/>
    <tableColumn id="3" xr3:uid="{FAF18E61-E99E-4061-AC94-B2FDB6D593F4}" name="10/31/13" dataDxfId="462" dataCellStyle="Normal 2"/>
    <tableColumn id="4" xr3:uid="{B784CEA2-3450-447D-8218-4D5C09585517}" name="10/31/14" dataDxfId="461" dataCellStyle="Normal 2"/>
    <tableColumn id="5" xr3:uid="{03CB342D-2AB6-4F6C-B6B2-D8D82D164E9F}" name="10/31/15" dataDxfId="460" dataCellStyle="Normal 2"/>
    <tableColumn id="6" xr3:uid="{1AB62B0D-F6A8-4F6D-8FEC-E518281C367C}" name="10/31/16" dataDxfId="459" dataCellStyle="Normal 2"/>
    <tableColumn id="7" xr3:uid="{A8B84174-0505-4BF2-8E6C-44B7AF99CFA3}" name="10/31/17" dataDxfId="458" dataCellStyle="Normal 2"/>
    <tableColumn id="8" xr3:uid="{BB108D4E-1A7C-41FA-8258-D56DD81F5F42}" name="10/31/18" dataDxfId="457" dataCellStyle="Normal 2"/>
    <tableColumn id="9" xr3:uid="{86073869-3537-4654-B689-FBFCB53BAA47}" name="10/31/19" dataDxfId="456" dataCellStyle="Normal 2"/>
    <tableColumn id="10" xr3:uid="{BDC8CD85-6F99-4D60-91F3-FA649063639C}" name="10/31/20" dataDxfId="455" dataCellStyle="Normal 2"/>
    <tableColumn id="11" xr3:uid="{A4A03A5D-9636-451A-96C1-0E65DFE0F5F0}" name="10/31/21" dataDxfId="454" dataCellStyle="Normal 2"/>
    <tableColumn id="2" xr3:uid="{2989C107-B568-4A53-A434-73CB2234F5F4}" name="10/31/22" dataDxfId="453" dataCellStyle="Normal 2"/>
    <tableColumn id="14" xr3:uid="{6EA9B984-EF5A-4624-805C-D9407292CE07}" name="10/31/23" dataDxfId="452" dataCellStyle="Normal 2"/>
    <tableColumn id="12" xr3:uid="{99BA6FCB-C110-44E5-B6B1-BFABC727DE28}" name="YoY D#" dataDxfId="451" dataCellStyle="Normal 2">
      <calculatedColumnFormula>Table41101161[[#This Row],[10/31/23]]-Table41101161[[#This Row],[10/31/22]]</calculatedColumnFormula>
    </tableColumn>
    <tableColumn id="13" xr3:uid="{CA1ACD5C-EA92-40E6-AE8D-FAC683CE62C6}" name="YoY D%" dataDxfId="450" dataCellStyle="Normal 2">
      <calculatedColumnFormula>IF(O614&lt;&gt;0,P614/O614,"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044900E0-02BB-4155-A0CE-7DCC1ED6AD66}" name="Table42102162" displayName="Table42102162" ref="D628:Q633" totalsRowShown="0" headerRowDxfId="449" dataDxfId="447" headerRowBorderDxfId="448" tableBorderDxfId="446" headerRowCellStyle="Normal 2" dataCellStyle="Normal 2">
  <tableColumns count="14">
    <tableColumn id="1" xr3:uid="{06781379-AEC6-4F65-9CF1-9689A213350F}" name="Metric" dataDxfId="445" dataCellStyle="Normal 2"/>
    <tableColumn id="3" xr3:uid="{C6F80B14-07EA-48D5-9208-5A41830165CB}" name="10/31/13" dataDxfId="444" dataCellStyle="Normal 2"/>
    <tableColumn id="4" xr3:uid="{36E53CC5-B7EA-447F-BD87-3C9D7FA41CF0}" name="10/31/14" dataDxfId="443" dataCellStyle="Normal 2"/>
    <tableColumn id="5" xr3:uid="{E40DAFFD-752B-4A7C-B359-EE5F7A1CAB0F}" name="10/31/15" dataDxfId="442" dataCellStyle="Normal 2"/>
    <tableColumn id="6" xr3:uid="{F2DCDF8B-5E65-48C4-9D33-6590B36C07FA}" name="10/31/16" dataDxfId="441" dataCellStyle="Normal 2"/>
    <tableColumn id="7" xr3:uid="{F1ECD07C-E737-49EF-A1D3-AFB3DA85D5DB}" name="10/31/17" dataDxfId="440" dataCellStyle="Normal 2"/>
    <tableColumn id="8" xr3:uid="{783F61D5-3F36-458B-BCB2-3937DB53EA35}" name="10/31/18" dataDxfId="439" dataCellStyle="Normal 2"/>
    <tableColumn id="9" xr3:uid="{D7FA243A-1537-404F-A92E-3CB0BF2D6AA4}" name="10/31/19" dataDxfId="438" dataCellStyle="Normal 2"/>
    <tableColumn id="10" xr3:uid="{4FEDE55E-6AD7-4E63-9DC1-FD39B393250E}" name="10/31/20" dataDxfId="437" dataCellStyle="Normal 2"/>
    <tableColumn id="11" xr3:uid="{DAB104F8-22D2-4024-B749-B00E584D9103}" name="10/31/21" dataDxfId="436" dataCellStyle="Normal 2"/>
    <tableColumn id="2" xr3:uid="{1019C394-41C6-494F-A415-8DD694911E0B}" name="10/31/22" dataDxfId="435" dataCellStyle="Normal 2"/>
    <tableColumn id="14" xr3:uid="{25CB2C00-B1CF-44F6-A0D2-8827656BE531}" name="10/31/23" dataDxfId="434" dataCellStyle="Normal 2"/>
    <tableColumn id="12" xr3:uid="{505FA5C7-E085-45D6-A001-3F7F5AB20C79}" name="YoY D#" dataDxfId="433" dataCellStyle="Normal 2">
      <calculatedColumnFormula>O629-N629</calculatedColumnFormula>
    </tableColumn>
    <tableColumn id="13" xr3:uid="{EDA4E968-24FE-4062-A979-6D6DBD5475AE}" name="YoY D%" dataDxfId="432" dataCellStyle="Normal 2">
      <calculatedColumnFormula>IF(O629&lt;&gt;0,P629/O629,"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0F7CDDB0-C031-49A0-BBE0-93FA7DF742DE}" name="Table43103163" displayName="Table43103163" ref="D639:Q645" totalsRowCount="1" headerRowDxfId="431" dataDxfId="429" totalsRowDxfId="427" headerRowBorderDxfId="430" tableBorderDxfId="428" headerRowCellStyle="Normal 2" dataCellStyle="Normal 2">
  <tableColumns count="14">
    <tableColumn id="1" xr3:uid="{A63AD075-604F-4B9C-9636-6DE75F4BEB6D}" name="Metric" dataDxfId="426" totalsRowDxfId="425" dataCellStyle="Normal 2" totalsRowCellStyle="Normal 2"/>
    <tableColumn id="3" xr3:uid="{78EDB50C-C6E5-4EFA-A6DC-F3CDB5F0E04D}" name="10/31/13" dataDxfId="424" totalsRowDxfId="423" dataCellStyle="Normal 2" totalsRowCellStyle="Normal 2"/>
    <tableColumn id="4" xr3:uid="{32C74F27-C79F-4993-B33F-7CADCDDECBBC}" name="10/31/14" dataDxfId="422" totalsRowDxfId="421" dataCellStyle="Normal 2" totalsRowCellStyle="Normal 2"/>
    <tableColumn id="5" xr3:uid="{DD97DB46-46BD-4BFC-9A11-E579DF3C8678}" name="10/31/15" dataDxfId="420" totalsRowDxfId="419" dataCellStyle="Normal 2" totalsRowCellStyle="Normal 2"/>
    <tableColumn id="6" xr3:uid="{7BE0CD6C-9A53-44DF-9DF5-F56E83F67DA0}" name="10/31/16" dataDxfId="418" totalsRowDxfId="417" dataCellStyle="Normal 2" totalsRowCellStyle="Normal 2"/>
    <tableColumn id="7" xr3:uid="{FB591C1E-4870-40D1-9BBB-89EB4067126C}" name="10/31/17" dataDxfId="416" totalsRowDxfId="415" dataCellStyle="Normal 2" totalsRowCellStyle="Normal 2"/>
    <tableColumn id="8" xr3:uid="{46CA8479-57D7-4FE3-92D5-E07A85E4DB94}" name="10/31/18" dataDxfId="414" totalsRowDxfId="413" dataCellStyle="Normal 2" totalsRowCellStyle="Normal 2"/>
    <tableColumn id="9" xr3:uid="{C87D17FF-1A46-4F0A-8556-AC9DE828EEE2}" name="10/31/19" dataDxfId="412" totalsRowDxfId="411" dataCellStyle="Normal 2" totalsRowCellStyle="Normal 2"/>
    <tableColumn id="10" xr3:uid="{F8D0BE7F-6420-4248-BEE3-0E4DE3BB2121}" name="10/31/20" dataDxfId="410" totalsRowDxfId="409" dataCellStyle="Normal 2" totalsRowCellStyle="Normal 2"/>
    <tableColumn id="11" xr3:uid="{AFDC642D-96F0-4781-91EB-ECA848F6505A}" name="10/31/21" dataDxfId="408" totalsRowDxfId="407" dataCellStyle="Normal 2" totalsRowCellStyle="Normal 2"/>
    <tableColumn id="2" xr3:uid="{600C9747-7882-4926-B8C4-08D12551701D}" name="10/31/22" dataDxfId="406" totalsRowDxfId="405" dataCellStyle="Normal 2" totalsRowCellStyle="Normal 2"/>
    <tableColumn id="14" xr3:uid="{0F560391-FBD8-47ED-9BB9-F2C1D67C3DAD}" name="10/31/23" dataDxfId="404" totalsRowDxfId="403" dataCellStyle="Normal 2" totalsRowCellStyle="Normal 2"/>
    <tableColumn id="12" xr3:uid="{C41AA5E3-443C-4F5F-AFAE-E21E235D1498}" name="YoY D#" dataDxfId="402" totalsRowDxfId="401" dataCellStyle="Normal 2" totalsRowCellStyle="Normal 2">
      <calculatedColumnFormula>Table43103163[[#This Row],[10/31/23]]-Table43103163[[#This Row],[10/31/22]]</calculatedColumnFormula>
    </tableColumn>
    <tableColumn id="13" xr3:uid="{A736FA58-0869-416D-967A-B16A199FC673}" name="YoY D%" dataDxfId="400" totalsRowDxfId="399" dataCellStyle="Normal 2" totalsRowCellStyle="Normal 2">
      <calculatedColumnFormula>IF(O640&lt;&gt;0,P640/O640,"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5ABD3BEE-582A-4B20-8A21-41C195DD0E95}" name="Table44104164" displayName="Table44104164" ref="D647:Q652" totalsRowShown="0" headerRowDxfId="398" dataDxfId="396" headerRowBorderDxfId="397" tableBorderDxfId="395" headerRowCellStyle="Normal 2">
  <tableColumns count="14">
    <tableColumn id="1" xr3:uid="{C4D8731C-C493-41DF-A3F1-233BDBD9D427}" name="Metric" dataDxfId="394" dataCellStyle="Normal 2"/>
    <tableColumn id="3" xr3:uid="{53E7979A-FBB1-4AF9-8E0C-B1B1FABB146D}" name="10/31/13" dataDxfId="393" dataCellStyle="Normal 2"/>
    <tableColumn id="4" xr3:uid="{43D5C60D-9288-4ACF-895F-47512E24255F}" name="10/31/14" dataDxfId="392" dataCellStyle="Normal 2"/>
    <tableColumn id="5" xr3:uid="{EC361648-2A5D-48C9-ADA1-AF49C63CD723}" name="10/31/15" dataDxfId="391" dataCellStyle="Normal 2"/>
    <tableColumn id="6" xr3:uid="{86EC938A-4C4D-4CAA-B4BA-83263EA7007D}" name="10/31/16" dataDxfId="390" dataCellStyle="Normal 2"/>
    <tableColumn id="7" xr3:uid="{C2CA117E-75F2-4D01-AA26-597A7097759C}" name="10/31/17" dataDxfId="389" dataCellStyle="Normal 2"/>
    <tableColumn id="8" xr3:uid="{78CEA3AD-6250-4798-A9B0-682CF4F5C098}" name="10/31/18" dataDxfId="388"/>
    <tableColumn id="9" xr3:uid="{AE5085CC-7E7A-4B58-8D66-B3404A8EB848}" name="10/31/19" dataDxfId="387"/>
    <tableColumn id="10" xr3:uid="{BB82C022-F35A-4DD3-ABB9-0DCBF5271B83}" name="10/31/20" dataDxfId="386"/>
    <tableColumn id="11" xr3:uid="{4CE55FFB-CF3F-44A4-A7C5-FA517108DA98}" name="10/31/21" dataDxfId="385"/>
    <tableColumn id="2" xr3:uid="{5D4F6BFB-A8C0-4BF6-936C-C5B565FDB3D6}" name="10/31/22" dataDxfId="384"/>
    <tableColumn id="14" xr3:uid="{7D9D0776-8357-458E-921B-8D3FFB7F1293}" name="10/31/23" dataDxfId="383"/>
    <tableColumn id="12" xr3:uid="{6146291B-527D-4100-B80E-CC5AF8E4A2A3}" name="YoY D#" dataDxfId="382" dataCellStyle="Normal 2">
      <calculatedColumnFormula>Table44104164[[#This Row],[10/31/23]]-Table44104164[[#This Row],[10/31/22]]</calculatedColumnFormula>
    </tableColumn>
    <tableColumn id="13" xr3:uid="{C4C75F5B-D184-4BD7-B99A-862B88944D8B}" name="YoY D%" dataDxfId="381" dataCellStyle="Normal 2">
      <calculatedColumnFormula>IF(O648&lt;&gt;0,P648/O648,"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B9C7D5F7-D9EF-4530-B197-35454D583BBC}" name="Table45105165" displayName="Table45105165" ref="D655:Q661" totalsRowCount="1" headerRowDxfId="380" dataDxfId="378" totalsRowDxfId="376" headerRowBorderDxfId="379" tableBorderDxfId="377" headerRowCellStyle="Normal 2" dataCellStyle="Normal 2">
  <tableColumns count="14">
    <tableColumn id="1" xr3:uid="{D01F2FCE-E45B-4EFB-8B6A-E1860B4A2323}" name="Metric" dataDxfId="375" totalsRowDxfId="374" dataCellStyle="Normal 2" totalsRowCellStyle="Normal 2"/>
    <tableColumn id="3" xr3:uid="{FC43F766-BC82-434F-82FD-FAE22E161061}" name="10/31/13" dataDxfId="373" totalsRowDxfId="372" dataCellStyle="Normal 2" totalsRowCellStyle="Normal 2"/>
    <tableColumn id="4" xr3:uid="{3C1FDCCC-254C-4567-BD82-7D167253027F}" name="10/31/14" dataDxfId="371" totalsRowDxfId="370" dataCellStyle="Normal 2" totalsRowCellStyle="Normal 2"/>
    <tableColumn id="5" xr3:uid="{E5770AC9-31B7-46F9-B065-3949996119FB}" name="10/31/15" dataDxfId="369" totalsRowDxfId="368" dataCellStyle="Normal 2" totalsRowCellStyle="Normal 2"/>
    <tableColumn id="6" xr3:uid="{32E06713-F39E-4D29-8435-D5C67BCA48D1}" name="10/31/16" dataDxfId="367" totalsRowDxfId="366" dataCellStyle="Normal 2" totalsRowCellStyle="Normal 2"/>
    <tableColumn id="7" xr3:uid="{1C38605C-EBA7-44C5-8A6B-98C8E8492C02}" name="10/31/17" dataDxfId="365" totalsRowDxfId="364" dataCellStyle="Normal 2" totalsRowCellStyle="Normal 2"/>
    <tableColumn id="8" xr3:uid="{F677E0C9-E5EB-4851-AFD2-D71A9C1A29A5}" name="10/31/18" dataDxfId="363" totalsRowDxfId="362" dataCellStyle="Normal 2" totalsRowCellStyle="Normal 2"/>
    <tableColumn id="9" xr3:uid="{548269FE-C837-4143-99D6-623BF8800CF8}" name="10/31/19" dataDxfId="361" totalsRowDxfId="360" dataCellStyle="Normal 2" totalsRowCellStyle="Normal 2"/>
    <tableColumn id="10" xr3:uid="{C1A8856F-975D-428C-B177-E43649B015DC}" name="10/31/20" dataDxfId="359" totalsRowDxfId="358" dataCellStyle="Normal 2" totalsRowCellStyle="Normal 2"/>
    <tableColumn id="11" xr3:uid="{0BCC9BA3-F8CE-4B31-9BEB-672DE2FF918A}" name="10/31/21" dataDxfId="357" totalsRowDxfId="356" dataCellStyle="Normal 2" totalsRowCellStyle="Normal 2"/>
    <tableColumn id="2" xr3:uid="{42091137-33A8-4473-AEC7-5173343C711A}" name="10/31/22" dataDxfId="355" totalsRowDxfId="354" dataCellStyle="Normal 2" totalsRowCellStyle="Normal 2"/>
    <tableColumn id="14" xr3:uid="{9F4CE062-4889-4369-A0D2-4393E33E8E79}" name="10/31/23" dataDxfId="353" totalsRowDxfId="352" dataCellStyle="Normal 2" totalsRowCellStyle="Normal 2"/>
    <tableColumn id="12" xr3:uid="{DDF4DEB3-DAB7-4D2C-BDB7-736FEDBC1298}" name="YoY D#" dataDxfId="351" totalsRowDxfId="350" dataCellStyle="Normal 2" totalsRowCellStyle="Normal 2">
      <calculatedColumnFormula>Table45105165[[#This Row],[10/31/23]]-Table45105165[[#This Row],[10/31/22]]</calculatedColumnFormula>
    </tableColumn>
    <tableColumn id="13" xr3:uid="{3836AAC0-E60E-4F88-B5BE-E78B4D0D22B5}" name="YoY D%" dataDxfId="349" totalsRowDxfId="348" dataCellStyle="Normal 2" totalsRowCellStyle="Normal 2">
      <calculatedColumnFormula>IF(O656&lt;&gt;0,P656/O656,"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70B4FB1A-817F-47D2-A420-8B4AA4F25CD9}" name="Table46106166" displayName="Table46106166" ref="D688:Q700" totalsRowShown="0" headerRowDxfId="347" dataDxfId="345" headerRowBorderDxfId="346" tableBorderDxfId="344" headerRowCellStyle="Normal 2" dataCellStyle="Normal 2">
  <tableColumns count="14">
    <tableColumn id="1" xr3:uid="{23CBB774-C680-4F28-A292-9381C3BA899B}" name="Metric" dataDxfId="343" dataCellStyle="Normal 2"/>
    <tableColumn id="3" xr3:uid="{6C41FC61-3B77-49D2-A3EC-A8C73FDD163B}" name="10/31/13" dataDxfId="342" dataCellStyle="Normal 2"/>
    <tableColumn id="4" xr3:uid="{C6F29694-9BEC-4856-8BBB-F7D7E1CC42E4}" name="10/31/14" dataDxfId="341" dataCellStyle="Normal 2"/>
    <tableColumn id="5" xr3:uid="{B4413D80-94A8-423B-8FFC-1C46A51E901C}" name="10/31/15" dataDxfId="340" dataCellStyle="Normal 2"/>
    <tableColumn id="6" xr3:uid="{A20C7928-615C-4485-9F88-6D511FF4BCAF}" name="10/31/16" dataDxfId="339" dataCellStyle="Normal 2"/>
    <tableColumn id="7" xr3:uid="{D3AEB925-4F15-4588-8764-E2D1D2738956}" name="10/31/17" dataDxfId="338" dataCellStyle="Normal 2"/>
    <tableColumn id="8" xr3:uid="{EC1BC07D-46B5-4948-BF73-06C023C37E34}" name="10/31/18" dataDxfId="337" dataCellStyle="Normal 2"/>
    <tableColumn id="9" xr3:uid="{5BBA8E8C-5665-459A-965B-CE06536DC53D}" name="10/31/19" dataDxfId="336" dataCellStyle="Normal 2"/>
    <tableColumn id="10" xr3:uid="{9EFE1067-F665-4604-BE03-C09C444425EE}" name="10/31/20" dataDxfId="335" dataCellStyle="Normal 2"/>
    <tableColumn id="11" xr3:uid="{489D3BB6-A2BB-4115-9F77-FEC1CB9EFD4E}" name="10/31/21" dataDxfId="334" dataCellStyle="Normal 2"/>
    <tableColumn id="2" xr3:uid="{75184309-709B-4108-B669-4C8C0F557902}" name="10/31/22" dataDxfId="333" dataCellStyle="Normal 2"/>
    <tableColumn id="14" xr3:uid="{3769839C-68FA-4D8D-BED7-F5F1298D6255}" name="10/31/23" dataDxfId="332" dataCellStyle="Normal 2"/>
    <tableColumn id="12" xr3:uid="{1DFDA1A4-5BF5-4A28-9D39-B5B7D0EDFE7B}" name="YoY D#" dataDxfId="331" dataCellStyle="Normal 2">
      <calculatedColumnFormula>Table46106166[[#This Row],[10/31/23]]-Table46106166[[#This Row],[10/31/22]]</calculatedColumnFormula>
    </tableColumn>
    <tableColumn id="13" xr3:uid="{068F5545-B87C-4099-8A5E-0D5A770EA3D7}" name="YoY D%" dataDxfId="330" dataCellStyle="Normal 2">
      <calculatedColumnFormula>IF(O689&lt;&gt;0,P689/O689,"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695AE853-B9F6-4A5C-A97D-0F82FA26E577}" name="Table47107167" displayName="Table47107167" ref="D703:Q708" totalsRowShown="0" headerRowDxfId="329" dataDxfId="327" headerRowBorderDxfId="328" tableBorderDxfId="326" headerRowCellStyle="Normal 2" dataCellStyle="Normal 2">
  <tableColumns count="14">
    <tableColumn id="1" xr3:uid="{B065D2D7-FC9B-4642-AFDE-5940CFE0C2B9}" name="Metric" dataDxfId="325" dataCellStyle="Normal 2"/>
    <tableColumn id="3" xr3:uid="{7B056B18-90C6-4C75-83A4-81999096D023}" name="10/31/13" dataDxfId="324" dataCellStyle="Normal 2"/>
    <tableColumn id="4" xr3:uid="{2E92D2CD-10ED-4235-9CD7-F1E2D244CE54}" name="10/31/14" dataDxfId="323" dataCellStyle="Normal 2"/>
    <tableColumn id="5" xr3:uid="{20FFD2A3-8320-45D3-955D-442A625CFB9D}" name="10/31/15" dataDxfId="322" dataCellStyle="Normal 2"/>
    <tableColumn id="6" xr3:uid="{8A47BC0B-C768-4FA2-BBBC-4473938B43B2}" name="10/31/16" dataDxfId="321" dataCellStyle="Normal 2"/>
    <tableColumn id="7" xr3:uid="{08402334-7138-4485-BEAE-D7CFF1247B4A}" name="10/31/17" dataDxfId="320" dataCellStyle="Normal 2"/>
    <tableColumn id="8" xr3:uid="{A34752FE-F232-4501-A27E-C614033FB18A}" name="10/31/18" dataDxfId="319" dataCellStyle="Normal 2"/>
    <tableColumn id="9" xr3:uid="{7A0DF335-A060-4ABF-AF15-A54472C3B52E}" name="10/31/19" dataDxfId="318" dataCellStyle="Normal 2"/>
    <tableColumn id="10" xr3:uid="{AA7D10ED-31CB-4EDC-8D78-B4224D77CBE1}" name="10/31/20" dataDxfId="317" dataCellStyle="Normal 2"/>
    <tableColumn id="11" xr3:uid="{6F1F35DA-C05D-4E7C-8AD5-F65615135C09}" name="10/31/21" dataDxfId="316" dataCellStyle="Normal 2"/>
    <tableColumn id="2" xr3:uid="{E08C655D-CFD7-4490-A270-A09109E1E4B2}" name="10/31/22" dataDxfId="315" dataCellStyle="Normal 2"/>
    <tableColumn id="14" xr3:uid="{511C1EAA-39C8-41AE-845D-94CDDF26773F}" name="10/31/23" dataDxfId="314" dataCellStyle="Normal 2"/>
    <tableColumn id="12" xr3:uid="{49758496-25F9-4BB6-B107-8A9BEC4E827A}" name="YoY D#" dataDxfId="313" dataCellStyle="Normal 2">
      <calculatedColumnFormula>Table47107167[[#This Row],[10/31/23]]-Table47107167[[#This Row],[10/31/22]]</calculatedColumnFormula>
    </tableColumn>
    <tableColumn id="13" xr3:uid="{0F509070-1118-4810-8811-C2A91BB0FE9D}" name="YoY D%" dataDxfId="312" dataCellStyle="Normal 2">
      <calculatedColumnFormula>IF(O704&lt;&gt;0,P704/O704,"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2C7E2B65-920D-488E-9EB2-8740DB9C0B04}" name="Table48108168" displayName="Table48108168" ref="D714:Q720" totalsRowCount="1" headerRowDxfId="311" dataDxfId="309" totalsRowDxfId="307" headerRowBorderDxfId="310" tableBorderDxfId="308" headerRowCellStyle="Normal 2" dataCellStyle="Comma">
  <tableColumns count="14">
    <tableColumn id="1" xr3:uid="{EF740D4E-4E7C-42B5-BE8F-3769E68CC8BF}" name="Metric" dataDxfId="306" totalsRowDxfId="305" dataCellStyle="Normal 2" totalsRowCellStyle="Normal 2"/>
    <tableColumn id="3" xr3:uid="{658CA617-E919-4255-AAAA-E244D1CB346D}" name="10/31/13" dataDxfId="304" totalsRowDxfId="303" dataCellStyle="Normal 2" totalsRowCellStyle="Normal 2"/>
    <tableColumn id="4" xr3:uid="{BF556306-B7FD-487A-B45E-A3B5E81CD5C6}" name="10/31/14" dataDxfId="302" totalsRowDxfId="301" dataCellStyle="Normal 2" totalsRowCellStyle="Normal 2"/>
    <tableColumn id="5" xr3:uid="{3E95FF7E-E09C-49F7-A75B-F78DBD17F27A}" name="10/31/15" dataDxfId="300" totalsRowDxfId="299" dataCellStyle="Normal 2" totalsRowCellStyle="Normal 2"/>
    <tableColumn id="6" xr3:uid="{CCD1070A-2ECC-4596-A59B-0A50014B3CAD}" name="10/31/16" dataDxfId="298" totalsRowDxfId="297" dataCellStyle="Normal 2" totalsRowCellStyle="Normal 2"/>
    <tableColumn id="7" xr3:uid="{2A13CC24-5F4D-4D04-AC70-533502284F98}" name="10/31/17" dataDxfId="296" totalsRowDxfId="295" dataCellStyle="Normal 2" totalsRowCellStyle="Normal 2"/>
    <tableColumn id="8" xr3:uid="{760E42F2-394B-4506-B38D-0FF0BCE572B6}" name="10/31/18" dataDxfId="294" totalsRowDxfId="293" dataCellStyle="Comma" totalsRowCellStyle="Comma"/>
    <tableColumn id="9" xr3:uid="{A41B1E22-C2F4-4F15-B557-F9A99C534A57}" name="10/31/19" dataDxfId="292" totalsRowDxfId="291" dataCellStyle="Comma" totalsRowCellStyle="Comma"/>
    <tableColumn id="10" xr3:uid="{17A6D562-FBC6-491C-A6E4-8B8C8A021224}" name="10/31/20" dataDxfId="290" totalsRowDxfId="289" dataCellStyle="Comma" totalsRowCellStyle="Comma"/>
    <tableColumn id="11" xr3:uid="{F11BC976-4737-4153-846E-F4A3931B40E5}" name="10/31/21" dataDxfId="288" totalsRowDxfId="287" dataCellStyle="Comma" totalsRowCellStyle="Comma"/>
    <tableColumn id="2" xr3:uid="{92627DFE-C3D0-454A-82C8-F4ABB6638A7D}" name="10/31/22" dataDxfId="286" totalsRowDxfId="285" dataCellStyle="Comma" totalsRowCellStyle="Comma"/>
    <tableColumn id="14" xr3:uid="{F0F2106C-1E9E-4A2A-A3FC-0A9213FCCDE1}" name="10/31/23" dataDxfId="284" totalsRowDxfId="283" dataCellStyle="Comma" totalsRowCellStyle="Comma"/>
    <tableColumn id="12" xr3:uid="{B0B6FC27-6D23-4339-9288-6250E8A278E2}" name="YoY D#" dataDxfId="282" totalsRowDxfId="281" dataCellStyle="Normal 2" totalsRowCellStyle="Normal 2">
      <calculatedColumnFormula>Table48108168[[#This Row],[10/31/23]]-Table48108168[[#This Row],[10/31/22]]</calculatedColumnFormula>
    </tableColumn>
    <tableColumn id="13" xr3:uid="{EBDF266C-24C0-4E9E-AC4F-9FE5072A68B1}" name="YoY D%" dataDxfId="280" totalsRowDxfId="279" dataCellStyle="Normal 2" totalsRowCellStyle="Normal 2">
      <calculatedColumnFormula>IF(O715&lt;&gt;0,P715/O715,"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BC8A4CDB-687A-4151-876B-A1FD949988D1}" name="Table49109169" displayName="Table49109169" ref="D722:Q728" totalsRowCount="1" headerRowDxfId="278" dataDxfId="276" totalsRowDxfId="274" headerRowBorderDxfId="277" tableBorderDxfId="275" headerRowCellStyle="Normal 2">
  <tableColumns count="14">
    <tableColumn id="1" xr3:uid="{1B610527-39B1-43D8-9BBA-60FC7EE8DFDC}" name="Metric" dataDxfId="273" totalsRowDxfId="272" dataCellStyle="Normal 2" totalsRowCellStyle="Normal 2"/>
    <tableColumn id="3" xr3:uid="{2860FF5B-0656-4835-887A-5967C5185EF7}" name="10/31/13" dataDxfId="271" totalsRowDxfId="270" dataCellStyle="Normal 2" totalsRowCellStyle="Normal 2"/>
    <tableColumn id="4" xr3:uid="{49ED1C04-67ED-4D13-A9C4-92F294E3E400}" name="10/31/14" dataDxfId="269" totalsRowDxfId="268" dataCellStyle="Normal 2" totalsRowCellStyle="Normal 2"/>
    <tableColumn id="5" xr3:uid="{4F1C93BD-667C-4C7B-B767-91D40AECEA47}" name="10/31/15" dataDxfId="267" totalsRowDxfId="266" dataCellStyle="Normal 2" totalsRowCellStyle="Normal 2"/>
    <tableColumn id="6" xr3:uid="{7D228661-B587-4142-BE2A-967303080D5D}" name="10/31/16" dataDxfId="265" totalsRowDxfId="264" dataCellStyle="Normal 2" totalsRowCellStyle="Normal 2"/>
    <tableColumn id="7" xr3:uid="{9437334F-76BD-41EB-8F1C-1DB7054BE025}" name="10/31/17" dataDxfId="263" totalsRowDxfId="262" dataCellStyle="Normal 2" totalsRowCellStyle="Normal 2"/>
    <tableColumn id="8" xr3:uid="{63D2AECD-654B-432C-B474-3AA5A493CBFD}" name="10/31/18" dataDxfId="261" totalsRowDxfId="260" totalsRowCellStyle="Normal 2"/>
    <tableColumn id="9" xr3:uid="{DC29CC48-EF2B-4B05-BCCA-DD4BE0A837E8}" name="10/31/19" dataDxfId="259" totalsRowDxfId="258" totalsRowCellStyle="Normal 2"/>
    <tableColumn id="10" xr3:uid="{EA39EAC2-22AC-459C-A2B6-2E28E7A6F815}" name="10/31/20" dataDxfId="257" totalsRowDxfId="256" totalsRowCellStyle="Normal 2"/>
    <tableColumn id="11" xr3:uid="{F2447791-48BC-4BD1-9C2A-3DB8478BA3FC}" name="10/31/21" dataDxfId="255" totalsRowDxfId="254" totalsRowCellStyle="Normal 2"/>
    <tableColumn id="2" xr3:uid="{C15F7797-61C9-465B-8CC8-55DF23B48073}" name="10/31/22" dataDxfId="253" totalsRowDxfId="252" totalsRowCellStyle="Normal 2"/>
    <tableColumn id="14" xr3:uid="{1463C887-8B6B-4655-9BE3-A8AE046A01D5}" name="10/31/23" dataDxfId="251" totalsRowDxfId="250" totalsRowCellStyle="Normal 2"/>
    <tableColumn id="12" xr3:uid="{7565771D-60D6-48BD-BE53-FE596EAC7934}" name="YoY D#" dataDxfId="249" totalsRowDxfId="248" dataCellStyle="Normal 2" totalsRowCellStyle="Normal 2">
      <calculatedColumnFormula>Table49109169[[#This Row],[10/31/23]]-Table49109169[[#This Row],[10/31/22]]</calculatedColumnFormula>
    </tableColumn>
    <tableColumn id="13" xr3:uid="{EDF9CE00-4C88-415C-A419-9357359EC621}" name="YoY D%" dataDxfId="247" totalsRowDxfId="246" dataCellStyle="Normal 2" totalsRowCellStyle="Normal 2">
      <calculatedColumnFormula>IF(O723&lt;&gt;0,P723/O723,"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73E9E30B-030F-40F4-900C-98DD91406293}" name="Table50110170" displayName="Table50110170" ref="D730:Q736" totalsRowCount="1" headerRowDxfId="245" dataDxfId="243" totalsRowDxfId="241" headerRowBorderDxfId="244" tableBorderDxfId="242" headerRowCellStyle="Normal 2" dataCellStyle="Normal 2">
  <tableColumns count="14">
    <tableColumn id="1" xr3:uid="{0A5226A1-7641-4533-AB16-D297C8561AEF}" name="Metric" dataDxfId="240" totalsRowDxfId="239" dataCellStyle="Normal 2" totalsRowCellStyle="Normal 2"/>
    <tableColumn id="3" xr3:uid="{DF82FB9C-7FBA-4D97-9AFD-91A083BEB4B0}" name="10/31/13" dataDxfId="238" totalsRowDxfId="237" dataCellStyle="Normal 2" totalsRowCellStyle="Normal 2"/>
    <tableColumn id="4" xr3:uid="{0B14FEE8-43A9-44B5-B99C-C21D6DC381A9}" name="10/31/14" dataDxfId="236" totalsRowDxfId="235" dataCellStyle="Normal 2" totalsRowCellStyle="Normal 2"/>
    <tableColumn id="5" xr3:uid="{262334E9-FD8F-4D4D-9249-4058C45AE852}" name="10/31/15" dataDxfId="234" totalsRowDxfId="233" dataCellStyle="Normal 2" totalsRowCellStyle="Normal 2"/>
    <tableColumn id="6" xr3:uid="{683E95B9-3469-4743-8C6E-28A872049A72}" name="10/31/16" dataDxfId="232" totalsRowDxfId="231" dataCellStyle="Normal 2" totalsRowCellStyle="Normal 2"/>
    <tableColumn id="7" xr3:uid="{41CE03A1-17D1-476E-82B1-5094D7670635}" name="10/31/17" dataDxfId="230" totalsRowDxfId="229" dataCellStyle="Normal 2" totalsRowCellStyle="Normal 2"/>
    <tableColumn id="8" xr3:uid="{975A31DD-FEA2-4820-973E-E68205DB0924}" name="10/31/18" dataDxfId="228" totalsRowDxfId="227" dataCellStyle="Normal 2" totalsRowCellStyle="Normal 2"/>
    <tableColumn id="9" xr3:uid="{4C20D717-5C2B-4FBE-96AC-723A9BC9B7FB}" name="10/31/19" dataDxfId="226" totalsRowDxfId="225" dataCellStyle="Normal 2" totalsRowCellStyle="Normal 2"/>
    <tableColumn id="10" xr3:uid="{10F61B39-C8A5-45EC-92CD-362D69038B58}" name="10/31/20" dataDxfId="224" totalsRowDxfId="223" dataCellStyle="Normal 2" totalsRowCellStyle="Normal 2"/>
    <tableColumn id="11" xr3:uid="{5F898432-6D70-418C-82D4-504EBA79947D}" name="10/31/21" dataDxfId="222" totalsRowDxfId="221" dataCellStyle="Normal 2" totalsRowCellStyle="Normal 2"/>
    <tableColumn id="2" xr3:uid="{CA1BBB6B-36F7-4026-9C13-31B5107D2626}" name="10/31/22" dataDxfId="220" totalsRowDxfId="219" dataCellStyle="Normal 2" totalsRowCellStyle="Normal 2"/>
    <tableColumn id="14" xr3:uid="{4C098A0C-0514-4361-A328-E91E11BACFAB}" name="10/31/23" dataDxfId="218" totalsRowDxfId="217" dataCellStyle="Normal 2" totalsRowCellStyle="Normal 2"/>
    <tableColumn id="12" xr3:uid="{63E3242C-EBA3-4CFA-A4F4-2EC37B0939D7}" name="YoY D#" dataDxfId="216" totalsRowDxfId="215" dataCellStyle="Normal 2" totalsRowCellStyle="Normal 2">
      <calculatedColumnFormula>Table50110170[[#This Row],[10/31/23]]-Table50110170[[#This Row],[10/31/22]]</calculatedColumnFormula>
    </tableColumn>
    <tableColumn id="13" xr3:uid="{B59072FB-60D1-4836-AFD7-4DE1AEA88BF6}" name="YoY D%" dataDxfId="214" totalsRowDxfId="213" dataCellStyle="Normal 2" totalsRowCellStyle="Normal 2">
      <calculatedColumnFormula>IF(O731&lt;&gt;0,P731/O731,"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2CDEB39D-89EB-406F-B546-B0E067A2410E}" name="Table966126" displayName="Table966126" ref="D54:Q59" totalsRowShown="0" headerRowDxfId="1170" dataDxfId="1169" headerRowCellStyle="Normal 2" dataCellStyle="Normal 2">
  <tableColumns count="14">
    <tableColumn id="1" xr3:uid="{CEAC27C9-C688-40EF-8A76-1B9D811F6D6C}" name="Metric" dataDxfId="1168" dataCellStyle="Normal 2"/>
    <tableColumn id="3" xr3:uid="{4C836685-C75B-4C6F-85C8-8B4207B517B8}" name="10/31/13" dataDxfId="1167" dataCellStyle="Normal 2"/>
    <tableColumn id="4" xr3:uid="{9A516A67-23EA-4179-B313-76FEBB723462}" name="10/31/14" dataDxfId="1166" dataCellStyle="Normal 2"/>
    <tableColumn id="5" xr3:uid="{14B77ADD-ABD4-429D-889A-62AC44C12898}" name="10/31/15" dataDxfId="1165" dataCellStyle="Normal 2"/>
    <tableColumn id="6" xr3:uid="{ED9E00B8-4AE8-461E-A654-2ACCEB9BB963}" name="10/31/16" dataDxfId="1164" dataCellStyle="Normal 2"/>
    <tableColumn id="7" xr3:uid="{ED7DD36B-12BD-458E-B559-4D41782B8D9F}" name="10/31/17" dataDxfId="1163" dataCellStyle="Normal 2"/>
    <tableColumn id="8" xr3:uid="{025762FB-118F-477A-9950-759CC9DE05A5}" name="10/31/18" dataDxfId="1162" dataCellStyle="Normal 2"/>
    <tableColumn id="9" xr3:uid="{7C348682-8B40-4824-8059-F2AC5EDAD011}" name="10/31/19" dataDxfId="1161" dataCellStyle="Normal 2"/>
    <tableColumn id="10" xr3:uid="{A3B91B44-41DF-4F7C-BC7F-A5FC8AFBD907}" name="10/31/20" dataDxfId="1160" dataCellStyle="Normal 2"/>
    <tableColumn id="11" xr3:uid="{9875B8E1-D0D6-4A0F-B1CF-5C6151CFAFFC}" name="10/31/21" dataDxfId="1159" dataCellStyle="Normal 2"/>
    <tableColumn id="2" xr3:uid="{D4CD6F14-33E9-41CF-8706-14473A526F07}" name="10/31/22" dataDxfId="1158" dataCellStyle="Normal 2"/>
    <tableColumn id="14" xr3:uid="{265DEDB0-6573-4FF6-A19A-07D64854D392}" name="10/31/23" dataDxfId="1157" dataCellStyle="Normal 2"/>
    <tableColumn id="12" xr3:uid="{E4B72F33-C7DD-4926-B7C4-AF3F9F8F4B6E}" name="YoY D#" dataDxfId="1156" dataCellStyle="Normal 2">
      <calculatedColumnFormula>O55-N55</calculatedColumnFormula>
    </tableColumn>
    <tableColumn id="13" xr3:uid="{BB611E5D-7EA2-40D9-8760-C97BF7FEFB6C}" name="YoY D%" dataDxfId="1155" dataCellStyle="Normal 2">
      <calculatedColumnFormula>IF(O55&lt;&gt;0,P55/O55,"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D9387A5F-C03F-4784-9B76-54DBE7FC5312}" name="Table51111171" displayName="Table51111171" ref="D763:Q775" totalsRowShown="0" headerRowDxfId="212" dataDxfId="210" headerRowBorderDxfId="211" tableBorderDxfId="209" headerRowCellStyle="Normal 2" dataCellStyle="Normal 2">
  <tableColumns count="14">
    <tableColumn id="1" xr3:uid="{8B8F20B1-BA9B-4D59-98D5-F46C35430867}" name="Metric" dataDxfId="208" dataCellStyle="Normal 2"/>
    <tableColumn id="3" xr3:uid="{F5100764-AEA2-4A95-BE83-F63152923F7C}" name="10/31/13" dataDxfId="207" dataCellStyle="Normal 2"/>
    <tableColumn id="4" xr3:uid="{0D26276D-8902-4AEF-B164-909BE91CD9C3}" name="10/31/14" dataDxfId="206" dataCellStyle="Normal 2"/>
    <tableColumn id="5" xr3:uid="{42E5EB50-6A31-42D3-9E3C-4CBE4D752865}" name="10/31/15" dataDxfId="205" dataCellStyle="Normal 2"/>
    <tableColumn id="6" xr3:uid="{C7937D15-7638-498C-889C-1A76BDAA35BF}" name="10/31/16" dataDxfId="204" dataCellStyle="Normal 2">
      <calculatedColumnFormula>H689+H614</calculatedColumnFormula>
    </tableColumn>
    <tableColumn id="7" xr3:uid="{8F44B568-414A-41CF-B1F5-1AF060BA93A7}" name="10/31/17" dataDxfId="203" dataCellStyle="Normal 2"/>
    <tableColumn id="8" xr3:uid="{3478E036-DDF3-4C70-92B3-2B43C0D30755}" name="10/31/18" dataDxfId="202" dataCellStyle="Normal 2"/>
    <tableColumn id="9" xr3:uid="{21F3AA1F-1E2A-41C0-8854-C335062E32B6}" name="10/31/19" dataDxfId="201" dataCellStyle="Normal 2"/>
    <tableColumn id="10" xr3:uid="{CD4C86CB-2AC2-4FC4-A4E4-DA839025637B}" name="10/31/20" dataDxfId="200" dataCellStyle="Normal 2"/>
    <tableColumn id="11" xr3:uid="{594D9FBA-05D6-4291-BBE8-368CB8D12086}" name="10/31/21" dataDxfId="199" dataCellStyle="Normal 2"/>
    <tableColumn id="2" xr3:uid="{4425CAD9-9D86-46C1-B171-C438B7FABB35}" name="10/31/22" dataDxfId="198" dataCellStyle="Normal 2"/>
    <tableColumn id="14" xr3:uid="{D57411F6-AF63-48DD-965D-9C0DDFFBA84F}" name="10/31/23" dataDxfId="197" dataCellStyle="Normal 2"/>
    <tableColumn id="12" xr3:uid="{4C5CC155-FF5D-4B66-9BA9-DC2F23A0B775}" name="YoY D#" dataDxfId="196" dataCellStyle="Normal 2">
      <calculatedColumnFormula>Table51111171[[#This Row],[10/31/23]]-Table51111171[[#This Row],[10/31/22]]</calculatedColumnFormula>
    </tableColumn>
    <tableColumn id="13" xr3:uid="{B0C8AAF0-DFED-45E6-8500-165D9D42B6A3}" name="YoY D%" dataDxfId="195" dataCellStyle="Normal 2">
      <calculatedColumnFormula>IF(O764&lt;&gt;0,P764/O764,"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6B308AE0-FC11-4E98-8EFC-6E03FDBC07BC}" name="Table52112172" displayName="Table52112172" ref="D778:Q783" totalsRowShown="0" headerRowDxfId="194" dataDxfId="192" headerRowBorderDxfId="193" tableBorderDxfId="191" headerRowCellStyle="Normal 2" dataCellStyle="Normal 2">
  <tableColumns count="14">
    <tableColumn id="1" xr3:uid="{12A3EF54-8B8E-48AC-B8B4-5CAABEA6445C}" name="Metric" dataDxfId="190" dataCellStyle="Normal 2"/>
    <tableColumn id="3" xr3:uid="{EFCBC2F0-45D2-430E-8AF7-E749B6578600}" name="10/31/13" dataDxfId="189" dataCellStyle="Normal 2"/>
    <tableColumn id="4" xr3:uid="{C9CAF35B-E4A3-4A60-9722-420C8215AF17}" name="10/31/14" dataDxfId="188" dataCellStyle="Normal 2"/>
    <tableColumn id="5" xr3:uid="{44E66F5A-3C85-43FC-8527-D450B4DCCA91}" name="10/31/15" dataDxfId="187" dataCellStyle="Normal 2"/>
    <tableColumn id="6" xr3:uid="{1CF52F3B-DFD7-4A5C-90B4-ECEA80D536E5}" name="10/31/16" dataDxfId="186" dataCellStyle="Normal 2"/>
    <tableColumn id="7" xr3:uid="{B16888E0-950D-4772-93C5-946BB22CA95D}" name="10/31/17" dataDxfId="185" dataCellStyle="Normal 2"/>
    <tableColumn id="8" xr3:uid="{13B5529D-0341-45BF-86A1-792D4DD45269}" name="10/31/18" dataDxfId="184" dataCellStyle="Normal 2"/>
    <tableColumn id="9" xr3:uid="{BDE4E9F3-7279-4570-94C3-9EE68C23332F}" name="10/31/19" dataDxfId="183" dataCellStyle="Normal 2"/>
    <tableColumn id="10" xr3:uid="{386F2B80-1AC8-401F-971A-3542F1C5C59A}" name="10/31/20" dataDxfId="182" dataCellStyle="Normal 2"/>
    <tableColumn id="11" xr3:uid="{96783F63-AC2E-4AF2-8C32-ECF93543A5DD}" name="10/31/21" dataDxfId="181" dataCellStyle="Normal 2"/>
    <tableColumn id="2" xr3:uid="{D4871264-A88B-4241-A6E5-87917A0656FD}" name="10/31/22" dataDxfId="180" dataCellStyle="Normal 2"/>
    <tableColumn id="14" xr3:uid="{B4322639-1BE2-479A-938A-B55FE0951615}" name="10/31/23" dataDxfId="179" dataCellStyle="Normal 2"/>
    <tableColumn id="12" xr3:uid="{A59BF619-1C02-4478-A924-4A1E1303992F}" name="YoY D#" dataDxfId="178" dataCellStyle="Normal 2">
      <calculatedColumnFormula>Table52112172[[#This Row],[10/31/23]]-Table52112172[[#This Row],[10/31/22]]</calculatedColumnFormula>
    </tableColumn>
    <tableColumn id="13" xr3:uid="{FDE123C3-BD22-402C-B97D-00CE1FEE9F18}" name="YoY D%" dataDxfId="177" dataCellStyle="Normal 2">
      <calculatedColumnFormula>IF(O779&lt;&gt;0,P779/O779,"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5BC11139-5AED-4226-BC3E-61C870558AA6}" name="Table53113173" displayName="Table53113173" ref="D789:Q794" totalsRowShown="0" headerRowDxfId="176" dataDxfId="174" headerRowBorderDxfId="175" tableBorderDxfId="173" headerRowCellStyle="Normal 2" dataCellStyle="Comma">
  <tableColumns count="14">
    <tableColumn id="1" xr3:uid="{C2A619CA-D15D-4FD6-8443-362AFDFFE5DD}" name="Metric" dataDxfId="172" dataCellStyle="Normal 2"/>
    <tableColumn id="3" xr3:uid="{71CBEA15-789A-44FC-AFD5-26FF2A788596}" name="10/31/13" dataDxfId="171" dataCellStyle="Normal 2"/>
    <tableColumn id="4" xr3:uid="{D4A5F874-7828-4E9C-96C2-89048DE2B8B1}" name="10/31/14" dataDxfId="170" dataCellStyle="Normal 2"/>
    <tableColumn id="5" xr3:uid="{524ACBF7-2C17-45BB-BB86-B2A0350D00A8}" name="10/31/15" dataDxfId="169" dataCellStyle="Normal 2"/>
    <tableColumn id="6" xr3:uid="{6D3AD7B3-BF29-40CD-830D-6BD0233D28E0}" name="10/31/16" dataDxfId="168" dataCellStyle="Normal 2"/>
    <tableColumn id="7" xr3:uid="{7691B3EF-6FF7-4258-8F64-4743A4304621}" name="10/31/17" dataDxfId="167" dataCellStyle="Normal 2"/>
    <tableColumn id="8" xr3:uid="{5128117B-0D4D-41D4-A5E9-66838C81E4FD}" name="10/31/18" dataDxfId="166" dataCellStyle="Comma"/>
    <tableColumn id="9" xr3:uid="{1DC4777A-3C0D-4BF1-90FC-86BDD10719EE}" name="10/31/19" dataDxfId="165" dataCellStyle="Comma"/>
    <tableColumn id="10" xr3:uid="{4A2FC967-50DA-401E-8C5D-91EDC3764623}" name="10/31/20" dataDxfId="164" dataCellStyle="Comma"/>
    <tableColumn id="11" xr3:uid="{143F6539-3DAC-4999-AD37-4299F9E265CE}" name="10/31/21" dataDxfId="163" dataCellStyle="Comma"/>
    <tableColumn id="2" xr3:uid="{3D8754B0-DE09-472B-AB4A-2AEEBAA0E645}" name="10/31/22" dataDxfId="162" dataCellStyle="Comma"/>
    <tableColumn id="14" xr3:uid="{9AC1585B-4804-4641-BE22-48F05FDF725A}" name="10/31/23" dataDxfId="161" dataCellStyle="Comma"/>
    <tableColumn id="12" xr3:uid="{26D1C458-9B6B-4317-8CBC-C84A8D41E86F}" name="YoY D#" dataDxfId="160" dataCellStyle="Normal 2">
      <calculatedColumnFormula>Table53113173[[#This Row],[10/31/23]]-Table53113173[[#This Row],[10/31/22]]</calculatedColumnFormula>
    </tableColumn>
    <tableColumn id="13" xr3:uid="{8DDE30D5-494E-411F-BE2D-CB784BC866D7}" name="YoY D%" dataDxfId="159" dataCellStyle="Normal 2">
      <calculatedColumnFormula>IF(O790&lt;&gt;0,P790/O790,"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A4CEB5D2-05E3-49EC-8543-A2C543462F9E}" name="Table54114174" displayName="Table54114174" ref="D797:Q802" totalsRowShown="0" headerRowDxfId="158" dataDxfId="156" headerRowBorderDxfId="157" tableBorderDxfId="155" headerRowCellStyle="Normal 2">
  <tableColumns count="14">
    <tableColumn id="1" xr3:uid="{7A28CD7D-BDB6-48DC-9170-BDABCCAFDE35}" name="Metric" dataDxfId="154" dataCellStyle="Normal 2"/>
    <tableColumn id="3" xr3:uid="{9AAFB54F-0E6C-4903-93F1-E62117725DDA}" name="10/31/13" dataDxfId="153" dataCellStyle="Normal 2"/>
    <tableColumn id="4" xr3:uid="{B3032C07-6CD0-4FBC-B959-09DDAAEEF2DD}" name="10/31/14" dataDxfId="152" dataCellStyle="Normal 2"/>
    <tableColumn id="5" xr3:uid="{B279D3B9-C7A1-45EE-B000-05FE6B0C18B8}" name="10/31/15" dataDxfId="151" dataCellStyle="Normal 2"/>
    <tableColumn id="6" xr3:uid="{DF4303E7-F064-41F6-9581-C00E454F5DC2}" name="10/31/16" dataDxfId="150" dataCellStyle="Normal 2"/>
    <tableColumn id="7" xr3:uid="{861E0B51-9186-4C76-8D75-81C7F43EF326}" name="10/31/17" dataDxfId="149" dataCellStyle="Normal 2"/>
    <tableColumn id="8" xr3:uid="{95C5688D-5DCB-4007-86D8-37073E44DB38}" name="10/31/18" dataDxfId="148"/>
    <tableColumn id="9" xr3:uid="{E0819D77-0EA4-4ABB-BA01-219B1DFAD8C2}" name="10/31/19" dataDxfId="147"/>
    <tableColumn id="10" xr3:uid="{313B92C4-BADA-480B-9F08-87518A2A093B}" name="10/31/20" dataDxfId="146"/>
    <tableColumn id="11" xr3:uid="{49DFA175-47D4-437E-86A7-A11F32C756D9}" name="10/31/21" dataDxfId="145"/>
    <tableColumn id="2" xr3:uid="{EB0699A9-643F-49DB-AB6F-0B9284BDFE11}" name="10/31/22" dataDxfId="144"/>
    <tableColumn id="14" xr3:uid="{E26128ED-6FB5-4AC2-A706-5201D0EDC2FD}" name="10/31/23" dataDxfId="143"/>
    <tableColumn id="12" xr3:uid="{5689F1AB-7FF3-4207-B702-BC152DBB2161}" name="YoY D#" dataDxfId="142" dataCellStyle="Normal 2">
      <calculatedColumnFormula>Table54114174[[#This Row],[10/31/23]]-Table54114174[[#This Row],[10/31/22]]</calculatedColumnFormula>
    </tableColumn>
    <tableColumn id="13" xr3:uid="{E83D79D9-650A-4AF7-BE03-2CF74DB5C18B}" name="YoY D%" dataDxfId="141" dataCellStyle="Normal 2">
      <calculatedColumnFormula>IF(O798&lt;&gt;0,P798/O798,"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0EABA946-AA9C-4F7D-B037-3C16AEB9BC28}" name="Table55115175" displayName="Table55115175" ref="D805:Q810" totalsRowShown="0" headerRowDxfId="140" dataDxfId="138" headerRowBorderDxfId="139" tableBorderDxfId="137" headerRowCellStyle="Normal 2" dataCellStyle="Normal 2">
  <tableColumns count="14">
    <tableColumn id="1" xr3:uid="{4A469B58-680C-4811-8870-F6866B32BDF5}" name="Metric" dataDxfId="136" dataCellStyle="Normal 2"/>
    <tableColumn id="3" xr3:uid="{D76EDE99-283C-4112-9B10-DD7CC2A71567}" name="10/31/13" dataDxfId="135" dataCellStyle="Normal 2"/>
    <tableColumn id="4" xr3:uid="{22913086-3E4A-4944-83F8-1B8CED9826C1}" name="10/31/14" dataDxfId="134" dataCellStyle="Normal 2"/>
    <tableColumn id="5" xr3:uid="{7A7C7536-3045-4267-A9D5-9E15AAC5FF6B}" name="10/31/15" dataDxfId="133" dataCellStyle="Normal 2"/>
    <tableColumn id="6" xr3:uid="{EAF2296A-40A0-443B-9610-0565D7DBA354}" name="10/31/16" dataDxfId="132" dataCellStyle="Normal 2"/>
    <tableColumn id="7" xr3:uid="{0A1CAFA9-4AA5-4DE2-98BC-16306715744E}" name="10/31/17" dataDxfId="131" dataCellStyle="Normal 2"/>
    <tableColumn id="8" xr3:uid="{0C2A7048-BCBC-48EA-9C72-C8C1051EB0B1}" name="10/31/18" dataDxfId="130" dataCellStyle="Normal 2"/>
    <tableColumn id="9" xr3:uid="{559D2A0A-2F0C-480D-BBA9-99981767BBAD}" name="10/31/19" dataDxfId="129" dataCellStyle="Normal 2"/>
    <tableColumn id="10" xr3:uid="{6AC10D0E-CC87-46CA-BCA3-76B66FC6B756}" name="10/31/20" dataDxfId="128" dataCellStyle="Normal 2"/>
    <tableColumn id="11" xr3:uid="{CA260EE5-F291-44BF-8773-DCBA972EAC85}" name="10/31/21" dataDxfId="127" dataCellStyle="Normal 2"/>
    <tableColumn id="2" xr3:uid="{A6C01129-6073-4DDA-BC66-3A35BE1B0AA6}" name="10/31/22" dataDxfId="126" dataCellStyle="Normal 2"/>
    <tableColumn id="14" xr3:uid="{E6361006-17EB-416A-93AE-FA83FDEB06C3}" name="10/31/23" dataDxfId="125" dataCellStyle="Normal 2"/>
    <tableColumn id="12" xr3:uid="{1768A72B-411E-42C3-B4C7-CD9B9AD9BAD4}" name="YoY D#" dataDxfId="124" dataCellStyle="Normal 2">
      <calculatedColumnFormula>Table55115175[[#This Row],[10/31/23]]-Table55115175[[#This Row],[10/31/22]]</calculatedColumnFormula>
    </tableColumn>
    <tableColumn id="13" xr3:uid="{91700541-99DB-4C68-958F-DD5878BB255C}" name="YoY D%" dataDxfId="123" dataCellStyle="Normal 2">
      <calculatedColumnFormula>IF(O806&lt;&gt;0,P806/O806,"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A2E5A4C7-179F-4F13-BA54-23801E8A0316}" name="Table56116176" displayName="Table56116176" ref="D838:Q850" totalsRowShown="0" headerRowDxfId="122" dataDxfId="120" headerRowBorderDxfId="121" tableBorderDxfId="119" headerRowCellStyle="Normal 2" dataCellStyle="Comma">
  <tableColumns count="14">
    <tableColumn id="1" xr3:uid="{53CB3221-2AED-45E4-AACE-98D51E6DFEDA}" name="Metric" dataDxfId="118" dataCellStyle="Normal 2"/>
    <tableColumn id="3" xr3:uid="{D1684B2E-7D2B-46F2-9369-3AD4BA1BA4CF}" name="10/31/13" dataDxfId="117" dataCellStyle="Normal 2"/>
    <tableColumn id="4" xr3:uid="{1B604B60-5405-4F9C-8181-08F16F13C478}" name="10/31/14" dataDxfId="116" dataCellStyle="Normal 2"/>
    <tableColumn id="5" xr3:uid="{EC9FC882-FA75-4CCC-878E-ABC3AFB494D7}" name="10/31/15" dataDxfId="115" dataCellStyle="Normal 2"/>
    <tableColumn id="6" xr3:uid="{35F76BA5-C016-4FB7-B9C2-E800C0F6175E}" name="10/31/16" dataDxfId="114" dataCellStyle="Normal 2"/>
    <tableColumn id="7" xr3:uid="{BCA62849-1FCB-431E-A1E1-3A2E68BA8215}" name="10/31/17" dataDxfId="113" dataCellStyle="Normal 2"/>
    <tableColumn id="8" xr3:uid="{7F4451AA-443D-4BA0-A5EF-14515EF47340}" name="10/31/18" dataDxfId="112" dataCellStyle="Comma"/>
    <tableColumn id="9" xr3:uid="{6A523DEF-132D-4CEE-8D5C-020D7A26CED1}" name="10/31/19" dataDxfId="111" dataCellStyle="Comma"/>
    <tableColumn id="10" xr3:uid="{B12DC660-48E1-4F46-B14B-BE4CC4DD22E2}" name="10/31/20" dataDxfId="110" dataCellStyle="Comma"/>
    <tableColumn id="11" xr3:uid="{C33944A4-62AB-40BB-88D0-17FE76CBDEF0}" name="10/31/21" dataDxfId="109" dataCellStyle="Comma"/>
    <tableColumn id="2" xr3:uid="{009B1287-8AB0-47D4-991A-792781A31B5A}" name="10/31/22" dataDxfId="108" dataCellStyle="Comma"/>
    <tableColumn id="14" xr3:uid="{146F0384-C361-42AE-BD5C-5B2821874C56}" name="10/31/23" dataDxfId="107" dataCellStyle="Comma"/>
    <tableColumn id="12" xr3:uid="{B08CE4A1-1C51-4BD1-91CE-8DE02C735F55}" name="YoY D#" dataDxfId="106" dataCellStyle="Normal 2">
      <calculatedColumnFormula>Table56116176[[#This Row],[10/31/23]]-Table56116176[[#This Row],[10/31/22]]</calculatedColumnFormula>
    </tableColumn>
    <tableColumn id="13" xr3:uid="{721CFBDC-70FA-40CF-939C-BF73F140ED35}" name="YoY D%" dataDxfId="105" dataCellStyle="Normal 2">
      <calculatedColumnFormula>IF(O839&lt;&gt;0,P839/O839,"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890E28FA-14F7-4783-A467-CD463ED613D6}" name="Table57117177" displayName="Table57117177" ref="D853:Q858" totalsRowShown="0" headerRowDxfId="104" dataDxfId="102" headerRowBorderDxfId="103" tableBorderDxfId="101" headerRowCellStyle="Normal 2" dataCellStyle="Normal 2">
  <tableColumns count="14">
    <tableColumn id="1" xr3:uid="{51C9A207-2787-4F83-9312-4772F9F1FC25}" name="Metric" dataDxfId="100" dataCellStyle="Normal 2"/>
    <tableColumn id="3" xr3:uid="{99AA8F7D-DD27-45FE-9304-CD725EF86B97}" name="10/31/13" dataDxfId="99" dataCellStyle="Normal 2"/>
    <tableColumn id="4" xr3:uid="{1DF5E952-AEC2-41B8-8ABA-7D2BB40EFB60}" name="10/31/14" dataDxfId="98" dataCellStyle="Normal 2"/>
    <tableColumn id="5" xr3:uid="{AF903AC8-4635-4F7E-9809-B9FC87E9EB90}" name="10/31/15" dataDxfId="97" dataCellStyle="Normal 2"/>
    <tableColumn id="6" xr3:uid="{206D3696-CD84-4D2C-8A80-52A051F1C6E1}" name="10/31/16" dataDxfId="96" dataCellStyle="Normal 2"/>
    <tableColumn id="7" xr3:uid="{AB3639E2-1826-4BBF-A884-1394210927A5}" name="10/31/17" dataDxfId="95" dataCellStyle="Normal 2"/>
    <tableColumn id="8" xr3:uid="{22034B3A-A1BD-42E6-89B8-B67FDD91B6B0}" name="10/31/18" dataDxfId="94" dataCellStyle="Normal 2"/>
    <tableColumn id="9" xr3:uid="{05FE4BEC-BE46-4342-B353-179562B07E4C}" name="10/31/19" dataDxfId="93" dataCellStyle="Normal 2"/>
    <tableColumn id="10" xr3:uid="{320DD119-C9AC-4622-8B65-A732240F70B1}" name="10/31/20" dataDxfId="92" dataCellStyle="Normal 2"/>
    <tableColumn id="11" xr3:uid="{C069BC7A-CAAC-4B4A-B3F7-F5F0D7997C96}" name="10/31/21" dataDxfId="91" dataCellStyle="Normal 2"/>
    <tableColumn id="2" xr3:uid="{394E4F44-B03A-40E6-B3E7-6BBCFC1814B8}" name="10/31/22" dataDxfId="90" dataCellStyle="Normal 2"/>
    <tableColumn id="14" xr3:uid="{9349605A-2DE7-4202-BC77-B9F5A69B75BB}" name="10/31/23" dataDxfId="89" dataCellStyle="Normal 2"/>
    <tableColumn id="12" xr3:uid="{9D6D96E5-7396-4448-96E2-754069C35FDF}" name="YoY D#" dataDxfId="88" dataCellStyle="Normal 2">
      <calculatedColumnFormula>Table57117177[[#This Row],[10/31/23]]-Table57117177[[#This Row],[10/31/22]]</calculatedColumnFormula>
    </tableColumn>
    <tableColumn id="13" xr3:uid="{848474A7-AEED-4847-BC52-90063DEC0889}" name="YoY D%" dataDxfId="87" dataCellStyle="Normal 2">
      <calculatedColumnFormula>IF(O854&lt;&gt;0,P854/O854,"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499FC3BB-DD84-4C33-BEF1-FE6EA458BAB2}" name="Table58118178" displayName="Table58118178" ref="D864:Q869" totalsRowShown="0" headerRowDxfId="86" dataDxfId="84" headerRowBorderDxfId="85" tableBorderDxfId="83" headerRowCellStyle="Normal 2" dataCellStyle="Comma">
  <tableColumns count="14">
    <tableColumn id="1" xr3:uid="{CF9DF7A3-60F3-40C8-A425-4AE1B36678AE}" name="Metric" dataDxfId="82" dataCellStyle="Normal 2"/>
    <tableColumn id="3" xr3:uid="{05A93659-C92D-4696-98A6-AB6651DC2BCA}" name="10/31/13" dataDxfId="81" dataCellStyle="Normal 2"/>
    <tableColumn id="4" xr3:uid="{3315B2EE-B717-42F2-AFE7-97950348B520}" name="10/31/14" dataDxfId="80" dataCellStyle="Normal 2"/>
    <tableColumn id="5" xr3:uid="{EA94C76E-53C2-40BC-ABBD-C5423815088F}" name="10/31/15" dataDxfId="79" dataCellStyle="Normal 2"/>
    <tableColumn id="6" xr3:uid="{49150D10-7F52-4C37-9B83-842DBADDD63E}" name="10/31/16" dataDxfId="78" dataCellStyle="Normal 2"/>
    <tableColumn id="7" xr3:uid="{C3CD255B-E8FF-42B7-871F-7FD3A29CE0C7}" name="10/31/17" dataDxfId="77" dataCellStyle="Normal 2"/>
    <tableColumn id="8" xr3:uid="{FCE6800B-47F2-4FBD-92AE-CFB2292A07A6}" name="10/31/18" dataDxfId="76" dataCellStyle="Comma"/>
    <tableColumn id="9" xr3:uid="{1E7CE45D-EFBD-4539-8F0C-A6A0C776E6B6}" name="10/31/19" dataDxfId="75" dataCellStyle="Comma"/>
    <tableColumn id="10" xr3:uid="{D9CD8F3E-0F63-42B6-A92A-029FCF16BB30}" name="10/31/20" dataDxfId="74" dataCellStyle="Comma"/>
    <tableColumn id="11" xr3:uid="{B71DC67C-1C67-4307-A891-EA0F3D6BB8FA}" name="10/31/21" dataDxfId="73" dataCellStyle="Comma"/>
    <tableColumn id="2" xr3:uid="{14311FA3-BF56-4BA0-A360-0B34D6C2C487}" name="10/31/22" dataDxfId="72" dataCellStyle="Comma"/>
    <tableColumn id="14" xr3:uid="{E2F9C55B-8719-4D86-8A3E-C45F81D93281}" name="10/31/23" dataDxfId="71" dataCellStyle="Comma"/>
    <tableColumn id="12" xr3:uid="{88AA1BFB-3BF6-49A2-9E0B-5F1F83F0746C}" name="YoY D#" dataDxfId="70" dataCellStyle="Normal 2">
      <calculatedColumnFormula>Table58118178[[#This Row],[10/31/23]]-Table58118178[[#This Row],[10/31/22]]</calculatedColumnFormula>
    </tableColumn>
    <tableColumn id="13" xr3:uid="{EEE0C2B9-5347-478A-A8AF-5EE9ED6A88E3}" name="YoY D%" dataDxfId="69" dataCellStyle="Normal 2">
      <calculatedColumnFormula>IF(O865&lt;&gt;0,P865/O865,"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B7A84B57-C04A-47E2-B5C7-03DB2CC958A7}" name="Table59119179" displayName="Table59119179" ref="D872:Q878" totalsRowCount="1" headerRowDxfId="68" dataDxfId="66" totalsRowDxfId="64" headerRowBorderDxfId="67" tableBorderDxfId="65" headerRowCellStyle="Normal 2">
  <tableColumns count="14">
    <tableColumn id="1" xr3:uid="{94302659-39B7-4AA0-AE3C-F2F55E9EEDB9}" name="Metric" dataDxfId="63" totalsRowDxfId="62" dataCellStyle="Normal 2" totalsRowCellStyle="Normal 2"/>
    <tableColumn id="3" xr3:uid="{82FC082D-F9C8-41E5-B800-4F6391801421}" name="10/31/13" dataDxfId="61" totalsRowDxfId="60" dataCellStyle="Normal 2" totalsRowCellStyle="Normal 2"/>
    <tableColumn id="4" xr3:uid="{0AF3E92F-6EC6-4D91-915F-2AF6E0DB4C47}" name="10/31/14" dataDxfId="59" totalsRowDxfId="58" dataCellStyle="Normal 2" totalsRowCellStyle="Normal 2"/>
    <tableColumn id="5" xr3:uid="{D9586C10-A172-4327-882A-5CDE99DA4B7E}" name="10/31/15" dataDxfId="57" totalsRowDxfId="56" dataCellStyle="Normal 2" totalsRowCellStyle="Normal 2"/>
    <tableColumn id="6" xr3:uid="{30528016-0C64-4856-9CA5-BA159A42EEE3}" name="10/31/16" dataDxfId="55" totalsRowDxfId="54" dataCellStyle="Normal 2" totalsRowCellStyle="Normal 2"/>
    <tableColumn id="7" xr3:uid="{D15B06A9-D86D-4405-ABF1-785D4E9BA340}" name="10/31/17" dataDxfId="53" totalsRowDxfId="52" dataCellStyle="Normal 2" totalsRowCellStyle="Normal 2"/>
    <tableColumn id="8" xr3:uid="{10F939A2-56A7-44FE-BDBF-A3B42A90AC12}" name="10/31/18" dataDxfId="51" totalsRowDxfId="50" totalsRowCellStyle="Normal 2"/>
    <tableColumn id="9" xr3:uid="{139FB62D-2901-4293-904B-4108A7D8DB3F}" name="10/31/19" dataDxfId="49" totalsRowDxfId="48" totalsRowCellStyle="Normal 2"/>
    <tableColumn id="10" xr3:uid="{17155131-FA82-4B84-9BD8-C1D1FA8B59F2}" name="10/31/20" dataDxfId="47" totalsRowDxfId="46" totalsRowCellStyle="Normal 2"/>
    <tableColumn id="11" xr3:uid="{9CF3BCDE-355E-43CF-94A1-08DA1A316F16}" name="10/31/21" dataDxfId="45" totalsRowDxfId="44" totalsRowCellStyle="Normal 2"/>
    <tableColumn id="2" xr3:uid="{DDB09204-27DE-4EF7-9D50-4CA192AFC286}" name="10/31/22" dataDxfId="43" totalsRowDxfId="42" totalsRowCellStyle="Normal 2"/>
    <tableColumn id="14" xr3:uid="{33369D46-D74B-461D-B053-C75C718F5E21}" name="10/31/23" dataDxfId="41" totalsRowDxfId="40" totalsRowCellStyle="Normal 2"/>
    <tableColumn id="12" xr3:uid="{040A74E0-29C7-4D60-89AB-2F70E78D6312}" name="YoY D#" dataDxfId="39" totalsRowDxfId="38" dataCellStyle="Normal 2" totalsRowCellStyle="Normal 2">
      <calculatedColumnFormula>Table59119179[[#This Row],[10/31/23]]-Table59119179[[#This Row],[10/31/22]]</calculatedColumnFormula>
    </tableColumn>
    <tableColumn id="13" xr3:uid="{3461E3C0-1D86-445A-A18B-1658C6ED66D4}" name="YoY D%" dataDxfId="37" totalsRowDxfId="36" dataCellStyle="Normal 2" totalsRowCellStyle="Normal 2">
      <calculatedColumnFormula>IF(O873&lt;&gt;0,P873/O873,"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4A1B61BA-CD4E-49DA-A52A-357AD4E5315B}" name="Table60120180" displayName="Table60120180" ref="D880:Q885" totalsRowShown="0" headerRowDxfId="35" dataDxfId="33" headerRowBorderDxfId="34" tableBorderDxfId="32" headerRowCellStyle="Normal 2" dataCellStyle="Normal 2">
  <tableColumns count="14">
    <tableColumn id="1" xr3:uid="{933BEAF2-9F84-44C4-B4E0-E5D8C17F96E2}" name="Metric" dataDxfId="31" dataCellStyle="Normal 2"/>
    <tableColumn id="3" xr3:uid="{CDB5B704-A64B-47CE-B82C-AC74D4958089}" name="10/31/13" dataDxfId="30" dataCellStyle="Normal 2"/>
    <tableColumn id="4" xr3:uid="{E6A421EF-B817-41C2-BD00-08D0C47FB3C4}" name="10/31/14" dataDxfId="29" dataCellStyle="Normal 2"/>
    <tableColumn id="5" xr3:uid="{55DAB80D-7091-4008-9728-006E991B825E}" name="10/31/15" dataDxfId="28" dataCellStyle="Normal 2"/>
    <tableColumn id="6" xr3:uid="{C95EEA23-D25D-4DC0-8716-B31C84ACDF8B}" name="10/31/16" dataDxfId="27" dataCellStyle="Normal 2"/>
    <tableColumn id="7" xr3:uid="{B1BA1F59-5959-42F2-881D-7DAD70CADD92}" name="10/31/17" dataDxfId="26" dataCellStyle="Normal 2"/>
    <tableColumn id="8" xr3:uid="{32DF6B8D-FAE1-49F7-AFFE-4DFA59894DE8}" name="10/31/18" dataDxfId="25" dataCellStyle="Normal 2"/>
    <tableColumn id="9" xr3:uid="{FE32123F-9109-4834-AEBE-E36C382F14B2}" name="10/31/19" dataDxfId="24" dataCellStyle="Normal 2"/>
    <tableColumn id="10" xr3:uid="{F10722D9-ADE0-4D7B-AF6F-273B79D6A216}" name="10/31/20" dataDxfId="23" dataCellStyle="Normal 2"/>
    <tableColumn id="11" xr3:uid="{4741B968-0CD8-46FF-9AB3-BCC8F116A2DD}" name="10/31/21" dataDxfId="22" dataCellStyle="Normal 2"/>
    <tableColumn id="2" xr3:uid="{752F3916-87C9-44F5-B8C8-1800FD977830}" name="10/31/22" dataDxfId="21" dataCellStyle="Normal 2"/>
    <tableColumn id="14" xr3:uid="{C1BA87A8-53E0-4C47-828E-A4AA476F1D3D}" name="10/31/23" dataDxfId="20" dataCellStyle="Normal 2"/>
    <tableColumn id="12" xr3:uid="{8AC05350-BB7C-4FBF-A2EE-A481320813AD}" name="YoY D#" dataDxfId="19" dataCellStyle="Normal 2">
      <calculatedColumnFormula>Table60120180[[#This Row],[10/31/23]]-Table60120180[[#This Row],[10/31/22]]</calculatedColumnFormula>
    </tableColumn>
    <tableColumn id="13" xr3:uid="{9FBFB188-B9DA-4685-9B15-24F263841C1D}" name="YoY D%" dataDxfId="18" dataCellStyle="Normal 2">
      <calculatedColumnFormula>IF(O881&lt;&gt;0,P881/O881,"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62259825-5B6E-42CB-958D-913EAA00F501}" name="Table267127" displayName="Table267127" ref="D102:Q107" totalsRowShown="0" headerRowDxfId="1154" dataDxfId="1152" headerRowBorderDxfId="1153" tableBorderDxfId="1151" headerRowCellStyle="Normal 2" dataCellStyle="Normal 2">
  <tableColumns count="14">
    <tableColumn id="1" xr3:uid="{4E21C0D1-AD98-467A-80CC-D06271D3BCE4}" name="Metric" dataDxfId="1150" dataCellStyle="Normal 2"/>
    <tableColumn id="3" xr3:uid="{67C26FE0-D9E8-41E2-8260-FA46A85E8CC7}" name="10/31/13" dataDxfId="1149" dataCellStyle="Normal 2"/>
    <tableColumn id="4" xr3:uid="{A174F082-AD3D-4DB4-AEB4-849EA78FE273}" name="10/31/14" dataDxfId="1148" dataCellStyle="Normal 2"/>
    <tableColumn id="5" xr3:uid="{C09250A7-7C94-4F7F-945E-95E6C36C2C80}" name="10/31/15" dataDxfId="1147" dataCellStyle="Normal 2"/>
    <tableColumn id="6" xr3:uid="{7E544656-2052-4AE3-9A51-20FA4274E4FB}" name="10/31/16" dataDxfId="1146" dataCellStyle="Normal 2"/>
    <tableColumn id="7" xr3:uid="{E52DA80E-6510-47CB-A3BB-F393485006D4}" name="10/31/17" dataDxfId="1145" dataCellStyle="Normal 2"/>
    <tableColumn id="8" xr3:uid="{DC982742-006A-42FA-A647-EBE908667E59}" name="10/31/18" dataDxfId="1144" dataCellStyle="Normal 2"/>
    <tableColumn id="9" xr3:uid="{EB371989-F0BB-452A-A892-06D23B539B03}" name="10/31/19" dataDxfId="1143" dataCellStyle="Normal 2"/>
    <tableColumn id="10" xr3:uid="{4370668A-D460-4335-A297-8845758F0944}" name="10/31/20" dataDxfId="1142" dataCellStyle="Normal 2"/>
    <tableColumn id="11" xr3:uid="{A27DE4B0-D90E-418C-A474-550A675B25CA}" name="10/31/21" dataDxfId="1141" dataCellStyle="Normal 2"/>
    <tableColumn id="2" xr3:uid="{21A594C9-2252-45C0-AD18-52AB07C38D16}" name="10/31/22" dataDxfId="1140" dataCellStyle="Normal 2"/>
    <tableColumn id="14" xr3:uid="{7F465D3B-02A9-436F-A562-A0C750D980DB}" name="10/31/23" dataDxfId="1139" dataCellStyle="Normal 2"/>
    <tableColumn id="12" xr3:uid="{9A5ACBE6-B9B5-46B8-BD64-3B80B059FA18}" name="YoY D#" dataDxfId="1138" dataCellStyle="Normal 2">
      <calculatedColumnFormula>O103-N103</calculatedColumnFormula>
    </tableColumn>
    <tableColumn id="13" xr3:uid="{6ADCA6BF-F573-4E18-8A89-F9AB49F6D732}" name="YoY D%" dataDxfId="1137" dataCellStyle="Normal 2">
      <calculatedColumnFormula>IF(O103&lt;&gt;0,P103/O103,"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B. Full-time Regular Employees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8626C862-7F63-4849-BB8F-FA5D20E9B03F}" name="Table1121181" displayName="Table1121181" ref="D87:Q99" totalsRowShown="0" headerRowDxfId="17" dataDxfId="15" headerRowBorderDxfId="16" tableBorderDxfId="14" headerRowCellStyle="Normal 2" dataCellStyle="Normal 2">
  <tableColumns count="14">
    <tableColumn id="1" xr3:uid="{B119B894-D195-41ED-840E-16465BDFC8AC}" name="Metric" dataDxfId="13" dataCellStyle="Normal 2"/>
    <tableColumn id="3" xr3:uid="{C4D4ED9C-4398-402E-9AE2-7B7CC2B2122E}" name="10/31/13" dataDxfId="12" dataCellStyle="Normal 2"/>
    <tableColumn id="4" xr3:uid="{250876B1-29FF-4D0F-BD28-B7527A6B30AF}" name="10/31/14" dataDxfId="11" dataCellStyle="Normal 2"/>
    <tableColumn id="5" xr3:uid="{9C47F742-FAFD-46EB-8EE6-2C27679B0501}" name="10/31/15" dataDxfId="10" dataCellStyle="Normal 2"/>
    <tableColumn id="6" xr3:uid="{82BC6C7D-DB92-4820-8041-7B6C8386D84B}" name="10/31/16" dataDxfId="9" dataCellStyle="Normal 2"/>
    <tableColumn id="7" xr3:uid="{FCFFA987-79FB-4FE2-AD07-24E216434A7B}" name="10/31/17" dataDxfId="8" dataCellStyle="Normal 2"/>
    <tableColumn id="8" xr3:uid="{4A8BE2EB-BA6C-4B43-96CD-811E95B17527}" name="10/31/18" dataDxfId="7" dataCellStyle="Normal 2"/>
    <tableColumn id="9" xr3:uid="{E8391F71-EBA8-4CFB-B20A-D3A682C80E89}" name="10/31/19" dataDxfId="6" dataCellStyle="Normal 2"/>
    <tableColumn id="10" xr3:uid="{B6BE0B52-6A73-4B5B-A642-7666DEF431C9}" name="10/31/20" dataDxfId="5" dataCellStyle="Normal 2"/>
    <tableColumn id="11" xr3:uid="{171076EC-5851-4F19-A649-31C0B1ED5CBB}" name="10/31/21" dataDxfId="4" dataCellStyle="Normal 2"/>
    <tableColumn id="2" xr3:uid="{642AC347-6A4F-413C-8629-F04A611234FF}" name="10/31/22" dataDxfId="3" dataCellStyle="Normal 2"/>
    <tableColumn id="14" xr3:uid="{5D1566CA-BDBA-4A20-965B-1B35E22EC171}" name="10/31/23" dataDxfId="2" dataCellStyle="Normal 2"/>
    <tableColumn id="12" xr3:uid="{471BBC81-E1C2-41AA-821D-1B964B05BD72}" name="YoY D#" dataDxfId="1" dataCellStyle="Normal 2">
      <calculatedColumnFormula>N88-M88</calculatedColumnFormula>
    </tableColumn>
    <tableColumn id="13" xr3:uid="{27A0FC8F-DDAD-4DC7-8A42-CCE7D28D0298}" name="YoY D%" dataDxfId="0" dataCellStyle="Normal 2">
      <calculatedColumnFormula>IF(N88&lt;&gt;0,P88/N88,"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. Total Headcount Employees (All ledgers); A. All Employe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A19917F5-6479-4E64-823B-DB000F699221}" name="Table368128" displayName="Table368128" ref="D113:Q118" totalsRowShown="0" headerRowDxfId="1136" dataDxfId="1134" headerRowBorderDxfId="1135" tableBorderDxfId="1133" headerRowCellStyle="Normal 2" dataCellStyle="Comma">
  <tableColumns count="14">
    <tableColumn id="1" xr3:uid="{4CEB909A-4788-4FBB-94FB-9F15C4290021}" name="Metric" dataDxfId="1132" dataCellStyle="Normal 2"/>
    <tableColumn id="3" xr3:uid="{12235A6C-B088-4D0E-A1C8-35B85FC85D10}" name="10/31/13" dataDxfId="1131" dataCellStyle="Normal 2"/>
    <tableColumn id="4" xr3:uid="{5A8414C6-C127-4374-A3B5-48391C39488D}" name="10/31/14" dataDxfId="1130" dataCellStyle="Normal 2"/>
    <tableColumn id="5" xr3:uid="{FB1544AB-D7CC-4262-B05A-A091F1C04F9E}" name="10/31/15" dataDxfId="1129" dataCellStyle="Normal 2"/>
    <tableColumn id="6" xr3:uid="{63473DEA-B2A4-488E-AB9D-98E4F327798F}" name="10/31/16" dataDxfId="1128" dataCellStyle="Normal 2"/>
    <tableColumn id="7" xr3:uid="{267A57CB-DD1C-49FD-9224-FE2AF5446C6D}" name="10/31/17" dataDxfId="1127" dataCellStyle="Normal 2"/>
    <tableColumn id="8" xr3:uid="{F436E98F-374F-42CC-B869-459E11106B12}" name="10/31/18" dataDxfId="1126" dataCellStyle="Comma"/>
    <tableColumn id="9" xr3:uid="{CE3062AF-6E0A-4D09-8A17-B1FE81EA6220}" name="10/31/19" dataDxfId="1125" dataCellStyle="Comma"/>
    <tableColumn id="10" xr3:uid="{DD9DE619-CEC9-4AB3-91E3-D17CB21FFCDE}" name="10/31/20" dataDxfId="1124" dataCellStyle="Comma"/>
    <tableColumn id="11" xr3:uid="{5547D366-883F-42CB-A3C5-38BB51ED0403}" name="10/31/21" dataDxfId="1123" dataCellStyle="Comma"/>
    <tableColumn id="15" xr3:uid="{F6EB5BBE-34BE-473E-BC3E-21EBB3C2A461}" name="10/31/22" dataDxfId="1122" dataCellStyle="Comma"/>
    <tableColumn id="2" xr3:uid="{2D98BD80-4E23-4FCA-9D44-FEFBD88B3AFD}" name="10/31/23" dataDxfId="1121" dataCellStyle="Comma"/>
    <tableColumn id="12" xr3:uid="{6DB419A5-0FD3-4783-A29C-476F866F7E58}" name="YoY D#" dataDxfId="1120" dataCellStyle="Normal 2">
      <calculatedColumnFormula>O114-N114</calculatedColumnFormula>
    </tableColumn>
    <tableColumn id="13" xr3:uid="{19642034-550D-4B1F-8775-F877F6ECE0E6}" name="YoY D%" dataDxfId="1119" dataCellStyle="Normal 2">
      <calculatedColumnFormula>IF(O114&lt;&gt;0,P114/O114,"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A. Educational &amp; General (E&amp;G)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C59A971D-3CA4-4650-8061-621C072DCA74}" name="Table469129" displayName="Table469129" ref="D121:Q126" totalsRowShown="0" headerRowDxfId="1118" dataDxfId="1116" headerRowBorderDxfId="1117" tableBorderDxfId="1115" headerRowCellStyle="Normal 2">
  <tableColumns count="14">
    <tableColumn id="1" xr3:uid="{A8CE5653-3B0C-4BCB-95E7-68950EF61AA9}" name="Metric" dataDxfId="1114" dataCellStyle="Normal 2"/>
    <tableColumn id="3" xr3:uid="{ACD916B0-2498-47F6-942C-95A99FC4801A}" name="10/31/13" dataDxfId="1113" dataCellStyle="Normal 2"/>
    <tableColumn id="4" xr3:uid="{FF3A53C1-0E00-4542-87C6-5EDC11A3E554}" name="10/31/14" dataDxfId="1112" dataCellStyle="Normal 2"/>
    <tableColumn id="5" xr3:uid="{03114C7C-797A-4136-87FF-2D5191A4E63E}" name="10/31/15" dataDxfId="1111" dataCellStyle="Normal 2"/>
    <tableColumn id="6" xr3:uid="{51D7FEA5-FD70-4D35-A059-E4FD14DD2903}" name="10/31/16" dataDxfId="1110" dataCellStyle="Normal 2"/>
    <tableColumn id="7" xr3:uid="{0B1E044C-2155-4084-9B56-AE5F93E6A278}" name="10/31/17" dataDxfId="1109" dataCellStyle="Normal 2"/>
    <tableColumn id="8" xr3:uid="{FACDCE5B-C328-4CFF-9002-B78DE1E18AB1}" name="10/31/18" dataDxfId="1108"/>
    <tableColumn id="9" xr3:uid="{E06ADC69-06D7-4C6E-BEC8-2B9A255CDAE5}" name="10/31/19" dataDxfId="1107"/>
    <tableColumn id="10" xr3:uid="{5BC72653-6468-4F13-82BA-FB196A6ABD13}" name="10/31/20" dataDxfId="1106"/>
    <tableColumn id="11" xr3:uid="{3A27CD60-B661-4DD7-A460-1810071023D8}" name="10/31/21" dataDxfId="1105"/>
    <tableColumn id="2" xr3:uid="{C2F7C13F-8BC7-4356-8C37-2C63A40FCD18}" name="10/31/22" dataDxfId="1104"/>
    <tableColumn id="14" xr3:uid="{695DF789-D5EE-474A-A632-B206EF5A98E5}" name="10/31/23" dataDxfId="1103"/>
    <tableColumn id="12" xr3:uid="{B783F0B0-10BE-4841-8524-2717A4D6C282}" name="YoY D#" dataDxfId="1102" dataCellStyle="Normal 2">
      <calculatedColumnFormula>O122-N122</calculatedColumnFormula>
    </tableColumn>
    <tableColumn id="13" xr3:uid="{A86B0106-A3ED-4089-ADF7-30BF98103582}" name="YoY D%" dataDxfId="1101" dataCellStyle="Normal 2">
      <calculatedColumnFormula>IF(O122&lt;&gt;0,P122/O122,"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B. Non-E&amp;G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89406807-774E-4DD6-B3EA-A60BE596060B}" name="Table1070130" displayName="Table1070130" ref="D129:Q134" totalsRowShown="0" headerRowDxfId="1100" dataDxfId="1098" headerRowBorderDxfId="1099" tableBorderDxfId="1097" headerRowCellStyle="Normal 2" dataCellStyle="Normal 2">
  <tableColumns count="14">
    <tableColumn id="1" xr3:uid="{E8862C4B-2228-4800-906A-325FA2EA2E2D}" name="Metric" dataDxfId="1096" dataCellStyle="Normal 2"/>
    <tableColumn id="3" xr3:uid="{28074F0A-D3E7-4CEC-A604-668C5503B86B}" name="10/31/13" dataDxfId="1095" dataCellStyle="Normal 2"/>
    <tableColumn id="4" xr3:uid="{4877B092-4860-437E-AC43-291013AE42F4}" name="10/31/14" dataDxfId="1094" dataCellStyle="Normal 2"/>
    <tableColumn id="5" xr3:uid="{3DF7CE94-31FE-48E1-A396-4C8C6923A65A}" name="10/31/15" dataDxfId="1093" dataCellStyle="Normal 2"/>
    <tableColumn id="6" xr3:uid="{2D859408-9659-4BBD-89C4-14217FF3B3ED}" name="10/31/16" dataDxfId="1092" dataCellStyle="Normal 2"/>
    <tableColumn id="7" xr3:uid="{84F7DA31-FC4C-48B1-AF3B-9A339AB58A3D}" name="10/31/17" dataDxfId="1091" dataCellStyle="Normal 2"/>
    <tableColumn id="8" xr3:uid="{AF12AD96-90BB-4437-AA47-2915B47482FA}" name="10/31/18" dataDxfId="1090" dataCellStyle="Normal 2"/>
    <tableColumn id="9" xr3:uid="{4DFCAF16-DA16-4D22-859E-A9221F1F1E50}" name="10/31/19" dataDxfId="1089" dataCellStyle="Normal 2"/>
    <tableColumn id="10" xr3:uid="{6D6BF932-2799-4F9F-BF7F-7379187D6546}" name="10/31/20" dataDxfId="1088" dataCellStyle="Normal 2"/>
    <tableColumn id="11" xr3:uid="{F3F74829-CF93-42D0-9B2A-AB20C41BC6EF}" name="10/31/21" dataDxfId="1087" dataCellStyle="Normal 2"/>
    <tableColumn id="2" xr3:uid="{4FC10ACD-D454-4D83-9CC2-05234A9E7B69}" name="10/31/22" dataDxfId="1086" dataCellStyle="Normal 2"/>
    <tableColumn id="14" xr3:uid="{3FCD22C0-7CD8-4CD0-894E-28395DADBEBD}" name="10/31/23" dataDxfId="1085" dataCellStyle="Normal 2"/>
    <tableColumn id="12" xr3:uid="{47951E3D-2FED-44EE-89C8-51D256E3EE34}" name="YoY D#" dataDxfId="1084" dataCellStyle="Normal 2">
      <calculatedColumnFormula>O130-N130</calculatedColumnFormula>
    </tableColumn>
    <tableColumn id="13" xr3:uid="{261AA46B-CFAE-4149-8217-C9F1CD6340BF}" name="YoY D%" dataDxfId="1083" dataCellStyle="Normal 2">
      <calculatedColumnFormula>IF(O130&lt;&gt;0,P130/O130,"           -")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I. Full-time Equivalent Employees; C. Total (All ledgers)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5" Type="http://schemas.openxmlformats.org/officeDocument/2006/relationships/table" Target="../tables/table3.xml"/><Relationship Id="rId61" Type="http://schemas.openxmlformats.org/officeDocument/2006/relationships/table" Target="../tables/table59.xml"/><Relationship Id="rId19" Type="http://schemas.openxmlformats.org/officeDocument/2006/relationships/table" Target="../tables/table1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2"/>
  <sheetViews>
    <sheetView workbookViewId="0">
      <selection activeCell="C34" sqref="C34"/>
    </sheetView>
  </sheetViews>
  <sheetFormatPr defaultRowHeight="15"/>
  <cols>
    <col min="1" max="1" width="10.5703125" customWidth="1"/>
    <col min="9" max="9" width="12.85546875" customWidth="1"/>
  </cols>
  <sheetData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 ht="15.75" thickBot="1">
      <c r="A17" s="2"/>
      <c r="B17" s="2"/>
      <c r="C17" s="2"/>
      <c r="D17" s="2"/>
      <c r="E17" s="2"/>
      <c r="F17" s="2"/>
      <c r="G17" s="2"/>
      <c r="H17" s="2"/>
      <c r="I17" s="2"/>
    </row>
    <row r="18" spans="1:9" ht="36" thickTop="1">
      <c r="A18" s="75" t="s">
        <v>41</v>
      </c>
      <c r="B18" s="75"/>
      <c r="C18" s="75"/>
      <c r="D18" s="75"/>
      <c r="E18" s="75"/>
      <c r="F18" s="75"/>
      <c r="G18" s="75"/>
      <c r="H18" s="75"/>
      <c r="I18" s="75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 ht="36" thickBot="1">
      <c r="A20" s="76" t="str">
        <f>"October 31, 2023"</f>
        <v>October 31, 2023</v>
      </c>
      <c r="B20" s="76"/>
      <c r="C20" s="76"/>
      <c r="D20" s="76"/>
      <c r="E20" s="76"/>
      <c r="F20" s="76"/>
      <c r="G20" s="76"/>
      <c r="H20" s="76"/>
      <c r="I20" s="76"/>
    </row>
    <row r="21" spans="1:9" ht="15.75" thickTop="1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 t="s">
        <v>56</v>
      </c>
      <c r="B39" s="1"/>
      <c r="C39" s="1"/>
      <c r="D39" s="1"/>
      <c r="E39" s="1"/>
      <c r="F39" s="1"/>
      <c r="H39" s="1"/>
      <c r="I39" s="6" t="s">
        <v>39</v>
      </c>
    </row>
    <row r="40" spans="1:9">
      <c r="A40" s="1" t="s">
        <v>57</v>
      </c>
      <c r="B40" s="1"/>
      <c r="C40" s="1"/>
      <c r="D40" s="1"/>
      <c r="E40" s="1"/>
      <c r="F40" s="1"/>
      <c r="H40" s="1"/>
      <c r="I40" s="6" t="s">
        <v>40</v>
      </c>
    </row>
    <row r="41" spans="1:9">
      <c r="A41" s="5" t="str">
        <f>"11/13/2023"</f>
        <v>11/13/2023</v>
      </c>
      <c r="B41" s="1"/>
      <c r="C41" s="1"/>
      <c r="D41" s="1"/>
      <c r="E41" s="1"/>
      <c r="F41" s="1"/>
      <c r="G41" s="1"/>
      <c r="H41" s="1"/>
      <c r="I41" s="1"/>
    </row>
    <row r="42" spans="1:9">
      <c r="A42" s="1"/>
    </row>
  </sheetData>
  <mergeCells count="2">
    <mergeCell ref="A18:I18"/>
    <mergeCell ref="A20:I2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5CC4-2D90-4DC9-9D0E-67511DEA6FB7}">
  <sheetPr>
    <tabColor theme="5" tint="0.39997558519241921"/>
    <pageSetUpPr fitToPage="1"/>
  </sheetPr>
  <dimension ref="A1:T939"/>
  <sheetViews>
    <sheetView tabSelected="1" topLeftCell="A821" zoomScale="90" zoomScaleNormal="90" workbookViewId="0">
      <selection activeCell="U828" sqref="U828"/>
    </sheetView>
  </sheetViews>
  <sheetFormatPr defaultColWidth="8.85546875" defaultRowHeight="15" customHeight="1"/>
  <cols>
    <col min="1" max="1" width="2.28515625" style="7" customWidth="1"/>
    <col min="2" max="2" width="2.42578125" style="7" customWidth="1"/>
    <col min="3" max="3" width="2.140625" style="7" customWidth="1"/>
    <col min="4" max="4" width="15.28515625" style="7" customWidth="1"/>
    <col min="5" max="8" width="10.140625" style="10" bestFit="1" customWidth="1"/>
    <col min="9" max="9" width="10.28515625" style="10" bestFit="1" customWidth="1"/>
    <col min="10" max="10" width="11.5703125" style="10" customWidth="1"/>
    <col min="11" max="15" width="10.28515625" style="10" bestFit="1" customWidth="1"/>
    <col min="16" max="16" width="10.42578125" style="10" bestFit="1" customWidth="1"/>
    <col min="17" max="17" width="15.5703125" style="10" customWidth="1"/>
    <col min="18" max="18" width="5.42578125" style="10" customWidth="1"/>
    <col min="19" max="19" width="8.85546875" style="7"/>
    <col min="20" max="16384" width="8.85546875" style="40"/>
  </cols>
  <sheetData>
    <row r="1" spans="1:20" s="50" customFormat="1">
      <c r="A1" s="30"/>
      <c r="R1" s="30"/>
      <c r="S1" s="30"/>
    </row>
    <row r="2" spans="1:20" s="50" customFormat="1" ht="15.75">
      <c r="A2" s="30"/>
      <c r="R2" s="8"/>
      <c r="S2" s="30"/>
    </row>
    <row r="3" spans="1:20" s="50" customFormat="1" ht="15.75">
      <c r="A3" s="30"/>
      <c r="R3" s="8"/>
      <c r="S3" s="30"/>
    </row>
    <row r="4" spans="1:20" s="50" customFormat="1" ht="15.75">
      <c r="A4" s="30"/>
      <c r="R4" s="8"/>
      <c r="S4" s="30"/>
    </row>
    <row r="5" spans="1:20" s="50" customFormat="1" ht="15.75">
      <c r="A5" s="30"/>
      <c r="B5" s="30"/>
      <c r="C5" s="8"/>
      <c r="D5" s="8"/>
      <c r="E5" s="8"/>
      <c r="F5" s="8"/>
      <c r="G5" s="8"/>
      <c r="H5" s="8"/>
      <c r="J5" s="9" t="s">
        <v>0</v>
      </c>
      <c r="K5" s="8"/>
      <c r="L5" s="8"/>
      <c r="M5" s="8"/>
      <c r="N5" s="8"/>
      <c r="O5" s="8"/>
      <c r="P5" s="8"/>
      <c r="Q5" s="30"/>
      <c r="R5" s="8"/>
      <c r="S5" s="30"/>
    </row>
    <row r="6" spans="1:20" ht="15.75">
      <c r="B6" s="30"/>
      <c r="C6" s="8"/>
      <c r="D6" s="8"/>
      <c r="E6" s="8"/>
      <c r="F6" s="8"/>
      <c r="G6" s="8"/>
      <c r="H6" s="8"/>
      <c r="I6" s="50"/>
      <c r="J6" s="9" t="s">
        <v>1</v>
      </c>
      <c r="K6" s="8"/>
      <c r="L6" s="8"/>
      <c r="M6" s="8"/>
      <c r="N6" s="8"/>
      <c r="O6" s="8"/>
      <c r="P6" s="8"/>
      <c r="Q6" s="8"/>
      <c r="R6" s="7"/>
    </row>
    <row r="7" spans="1:20" ht="15.75">
      <c r="B7" s="30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8"/>
      <c r="Q7" s="8"/>
      <c r="R7" s="7"/>
    </row>
    <row r="8" spans="1:20" ht="15.75">
      <c r="B8" s="30"/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7"/>
    </row>
    <row r="9" spans="1:20" ht="18.75">
      <c r="B9" s="12" t="s">
        <v>48</v>
      </c>
      <c r="H9" s="13"/>
      <c r="I9" s="13"/>
      <c r="J9" s="13"/>
      <c r="K9" s="31"/>
      <c r="L9" s="31"/>
      <c r="M9" s="31"/>
      <c r="N9" s="31"/>
      <c r="O9" s="32"/>
      <c r="P9" s="32"/>
      <c r="Q9" s="7"/>
      <c r="R9" s="7"/>
    </row>
    <row r="10" spans="1:20" ht="15.75">
      <c r="B10" s="12"/>
      <c r="H10" s="13"/>
      <c r="I10" s="13"/>
      <c r="J10" s="13"/>
      <c r="K10" s="31"/>
      <c r="L10" s="31"/>
      <c r="M10" s="31"/>
      <c r="N10" s="31"/>
      <c r="O10" s="32"/>
      <c r="P10" s="32"/>
      <c r="Q10" s="7"/>
      <c r="R10" s="7"/>
    </row>
    <row r="11" spans="1:20" ht="15.75">
      <c r="B11" s="12"/>
      <c r="C11" s="16" t="s">
        <v>6</v>
      </c>
      <c r="H11" s="13"/>
      <c r="I11" s="13"/>
      <c r="J11" s="13"/>
      <c r="K11" s="31"/>
      <c r="L11" s="31"/>
      <c r="M11" s="31"/>
      <c r="N11" s="31"/>
      <c r="O11" s="32"/>
      <c r="P11" s="32"/>
      <c r="Q11" s="7"/>
      <c r="R11" s="7"/>
    </row>
    <row r="12" spans="1:20" ht="15.75">
      <c r="D12" s="33" t="s">
        <v>45</v>
      </c>
      <c r="E12" s="35" t="s">
        <v>2</v>
      </c>
      <c r="F12" s="35" t="s">
        <v>3</v>
      </c>
      <c r="G12" s="35" t="s">
        <v>4</v>
      </c>
      <c r="H12" s="35" t="s">
        <v>5</v>
      </c>
      <c r="I12" s="35" t="s">
        <v>46</v>
      </c>
      <c r="J12" s="34" t="s">
        <v>47</v>
      </c>
      <c r="K12" s="34" t="s">
        <v>42</v>
      </c>
      <c r="L12" s="34" t="s">
        <v>43</v>
      </c>
      <c r="M12" s="34" t="s">
        <v>44</v>
      </c>
      <c r="N12" s="34" t="s">
        <v>54</v>
      </c>
      <c r="O12" s="34" t="s">
        <v>55</v>
      </c>
      <c r="P12" s="36" t="s">
        <v>49</v>
      </c>
      <c r="Q12" s="37" t="s">
        <v>50</v>
      </c>
      <c r="R12" s="7"/>
      <c r="T12" s="7"/>
    </row>
    <row r="13" spans="1:20">
      <c r="D13" s="23" t="s">
        <v>7</v>
      </c>
      <c r="E13" s="13">
        <v>2475</v>
      </c>
      <c r="F13" s="13">
        <v>2414</v>
      </c>
      <c r="G13" s="13">
        <v>2351</v>
      </c>
      <c r="H13" s="13">
        <v>2351</v>
      </c>
      <c r="I13" s="13">
        <v>2390</v>
      </c>
      <c r="J13" s="13">
        <v>2451</v>
      </c>
      <c r="K13" s="13">
        <v>2437</v>
      </c>
      <c r="L13" s="13">
        <v>2372</v>
      </c>
      <c r="M13" s="13">
        <v>2384</v>
      </c>
      <c r="N13" s="13">
        <v>2440</v>
      </c>
      <c r="O13" s="13">
        <v>2343</v>
      </c>
      <c r="P13" s="22">
        <f>O13-N13</f>
        <v>-97</v>
      </c>
      <c r="Q13" s="15">
        <f>IF(O13&lt;&gt;0,P13/O13,"           -")</f>
        <v>-4.1399914639351262E-2</v>
      </c>
      <c r="R13" s="7"/>
      <c r="T13" s="7"/>
    </row>
    <row r="14" spans="1:20">
      <c r="D14" s="23"/>
      <c r="E14" s="13"/>
      <c r="F14" s="13"/>
      <c r="G14" s="13"/>
      <c r="H14" s="13"/>
      <c r="I14" s="13"/>
      <c r="J14" s="23"/>
      <c r="K14" s="23"/>
      <c r="L14" s="23"/>
      <c r="M14" s="23"/>
      <c r="N14" s="23"/>
      <c r="O14" s="23"/>
      <c r="P14" s="22"/>
      <c r="Q14" s="15"/>
      <c r="R14" s="7"/>
      <c r="T14" s="7"/>
    </row>
    <row r="15" spans="1:20">
      <c r="D15" s="23" t="s">
        <v>8</v>
      </c>
      <c r="E15" s="13">
        <v>44</v>
      </c>
      <c r="F15" s="13">
        <v>35</v>
      </c>
      <c r="G15" s="13">
        <v>28</v>
      </c>
      <c r="H15" s="13">
        <v>26</v>
      </c>
      <c r="I15" s="13">
        <v>26</v>
      </c>
      <c r="J15" s="23">
        <v>27</v>
      </c>
      <c r="K15" s="23">
        <v>27</v>
      </c>
      <c r="L15" s="23">
        <v>26</v>
      </c>
      <c r="M15" s="23">
        <v>29</v>
      </c>
      <c r="N15" s="23">
        <v>21</v>
      </c>
      <c r="O15" s="23">
        <v>26</v>
      </c>
      <c r="P15" s="22">
        <f t="shared" ref="P15:P18" si="0">O15-N15</f>
        <v>5</v>
      </c>
      <c r="Q15" s="15">
        <f t="shared" ref="Q15:Q18" si="1">IF(O15&lt;&gt;0,P15/O15,"           -")</f>
        <v>0.19230769230769232</v>
      </c>
      <c r="R15" s="7"/>
      <c r="T15" s="7"/>
    </row>
    <row r="16" spans="1:20">
      <c r="D16" s="23" t="s">
        <v>9</v>
      </c>
      <c r="E16" s="13">
        <v>842</v>
      </c>
      <c r="F16" s="13">
        <v>836</v>
      </c>
      <c r="G16" s="13">
        <v>843</v>
      </c>
      <c r="H16" s="13">
        <v>839</v>
      </c>
      <c r="I16" s="13">
        <v>893</v>
      </c>
      <c r="J16" s="23">
        <v>906</v>
      </c>
      <c r="K16" s="23">
        <v>884</v>
      </c>
      <c r="L16" s="23">
        <v>829</v>
      </c>
      <c r="M16" s="23">
        <v>838</v>
      </c>
      <c r="N16" s="23">
        <v>858</v>
      </c>
      <c r="O16" s="23">
        <v>815</v>
      </c>
      <c r="P16" s="22">
        <f t="shared" si="0"/>
        <v>-43</v>
      </c>
      <c r="Q16" s="15">
        <f t="shared" si="1"/>
        <v>-5.2760736196319019E-2</v>
      </c>
      <c r="R16" s="7"/>
      <c r="T16" s="7"/>
    </row>
    <row r="17" spans="1:20">
      <c r="D17" s="23" t="s">
        <v>10</v>
      </c>
      <c r="E17" s="13">
        <v>737</v>
      </c>
      <c r="F17" s="13">
        <f>SUM(592 + 138)</f>
        <v>730</v>
      </c>
      <c r="G17" s="13">
        <f>566 + 124</f>
        <v>690</v>
      </c>
      <c r="H17" s="13">
        <f>584+117</f>
        <v>701</v>
      </c>
      <c r="I17" s="13">
        <v>708</v>
      </c>
      <c r="J17" s="23">
        <v>761</v>
      </c>
      <c r="K17" s="23">
        <v>794</v>
      </c>
      <c r="L17" s="23">
        <v>811</v>
      </c>
      <c r="M17" s="23">
        <v>876</v>
      </c>
      <c r="N17" s="23">
        <v>929</v>
      </c>
      <c r="O17" s="23">
        <v>988</v>
      </c>
      <c r="P17" s="22">
        <f t="shared" si="0"/>
        <v>59</v>
      </c>
      <c r="Q17" s="15">
        <f t="shared" si="1"/>
        <v>5.9716599190283402E-2</v>
      </c>
      <c r="R17" s="7"/>
      <c r="T17" s="7"/>
    </row>
    <row r="18" spans="1:20">
      <c r="D18" s="23" t="s">
        <v>11</v>
      </c>
      <c r="E18" s="13">
        <v>852</v>
      </c>
      <c r="F18" s="13">
        <v>813</v>
      </c>
      <c r="G18" s="13">
        <f>790</f>
        <v>790</v>
      </c>
      <c r="H18" s="13">
        <v>785</v>
      </c>
      <c r="I18" s="13">
        <v>763</v>
      </c>
      <c r="J18" s="23">
        <v>757</v>
      </c>
      <c r="K18" s="23">
        <v>732</v>
      </c>
      <c r="L18" s="23">
        <v>706</v>
      </c>
      <c r="M18" s="23">
        <v>641</v>
      </c>
      <c r="N18" s="23">
        <v>632</v>
      </c>
      <c r="O18" s="23">
        <v>514</v>
      </c>
      <c r="P18" s="22">
        <f t="shared" si="0"/>
        <v>-118</v>
      </c>
      <c r="Q18" s="15">
        <f t="shared" si="1"/>
        <v>-0.22957198443579765</v>
      </c>
      <c r="R18" s="7"/>
      <c r="T18" s="7"/>
    </row>
    <row r="19" spans="1:20">
      <c r="D19" s="23"/>
      <c r="E19" s="13"/>
      <c r="F19" s="13"/>
      <c r="G19" s="13"/>
      <c r="H19" s="13"/>
      <c r="I19" s="13"/>
      <c r="J19" s="23"/>
      <c r="K19" s="23"/>
      <c r="L19" s="23"/>
      <c r="M19" s="23"/>
      <c r="N19" s="23"/>
      <c r="O19" s="23"/>
      <c r="P19" s="22"/>
      <c r="Q19" s="15"/>
      <c r="R19" s="7"/>
      <c r="T19" s="7"/>
    </row>
    <row r="20" spans="1:20">
      <c r="D20" s="23" t="s">
        <v>12</v>
      </c>
      <c r="E20" s="13">
        <v>2097</v>
      </c>
      <c r="F20" s="13">
        <v>2066</v>
      </c>
      <c r="G20" s="13">
        <v>1994</v>
      </c>
      <c r="H20" s="13">
        <v>2025</v>
      </c>
      <c r="I20" s="73">
        <v>2026</v>
      </c>
      <c r="J20" s="74">
        <v>2069</v>
      </c>
      <c r="K20" s="74">
        <v>2076</v>
      </c>
      <c r="L20" s="74">
        <v>2034</v>
      </c>
      <c r="M20" s="74">
        <v>2058</v>
      </c>
      <c r="N20" s="74">
        <v>2121</v>
      </c>
      <c r="O20" s="74">
        <v>2040</v>
      </c>
      <c r="P20" s="22">
        <f t="shared" ref="P20:P21" si="2">O20-N20</f>
        <v>-81</v>
      </c>
      <c r="Q20" s="15">
        <f t="shared" ref="Q20:Q21" si="3">IF(O20&lt;&gt;0,P20/O20,"           -")</f>
        <v>-3.9705882352941174E-2</v>
      </c>
      <c r="R20" s="7"/>
      <c r="T20" s="7"/>
    </row>
    <row r="21" spans="1:20">
      <c r="D21" s="23" t="s">
        <v>13</v>
      </c>
      <c r="E21" s="13">
        <f>167 + 211</f>
        <v>378</v>
      </c>
      <c r="F21" s="13">
        <v>348</v>
      </c>
      <c r="G21" s="13">
        <v>357</v>
      </c>
      <c r="H21" s="13">
        <v>326</v>
      </c>
      <c r="I21" s="13">
        <v>364</v>
      </c>
      <c r="J21" s="23">
        <v>382</v>
      </c>
      <c r="K21" s="23">
        <v>361</v>
      </c>
      <c r="L21" s="23">
        <v>338</v>
      </c>
      <c r="M21" s="23">
        <v>326</v>
      </c>
      <c r="N21" s="23">
        <v>319</v>
      </c>
      <c r="O21" s="23">
        <v>303</v>
      </c>
      <c r="P21" s="22">
        <f t="shared" si="2"/>
        <v>-16</v>
      </c>
      <c r="Q21" s="15">
        <f t="shared" si="3"/>
        <v>-5.2805280528052806E-2</v>
      </c>
      <c r="R21" s="7"/>
      <c r="T21" s="7"/>
    </row>
    <row r="22" spans="1:20">
      <c r="D22" s="23"/>
      <c r="E22" s="13"/>
      <c r="F22" s="13"/>
      <c r="G22" s="13"/>
      <c r="H22" s="13"/>
      <c r="I22" s="13"/>
      <c r="J22" s="23"/>
      <c r="K22" s="23"/>
      <c r="L22" s="23"/>
      <c r="M22" s="23"/>
      <c r="N22" s="23"/>
      <c r="O22" s="23"/>
      <c r="P22" s="22"/>
      <c r="Q22" s="15"/>
      <c r="R22" s="7"/>
      <c r="T22" s="7"/>
    </row>
    <row r="23" spans="1:20">
      <c r="D23" s="23" t="s">
        <v>14</v>
      </c>
      <c r="E23" s="13">
        <f>2264</f>
        <v>2264</v>
      </c>
      <c r="F23" s="13">
        <v>2206</v>
      </c>
      <c r="G23" s="13">
        <v>2121</v>
      </c>
      <c r="H23" s="13">
        <v>2145</v>
      </c>
      <c r="I23" s="13">
        <v>2150</v>
      </c>
      <c r="J23" s="77">
        <v>2206</v>
      </c>
      <c r="K23" s="77">
        <v>2208</v>
      </c>
      <c r="L23" s="77">
        <v>2166</v>
      </c>
      <c r="M23" s="77">
        <v>2176</v>
      </c>
      <c r="N23" s="77">
        <v>2223</v>
      </c>
      <c r="O23" s="77">
        <v>2131</v>
      </c>
      <c r="P23" s="22">
        <f t="shared" ref="P23:P24" si="4">O23-N23</f>
        <v>-92</v>
      </c>
      <c r="Q23" s="15">
        <f t="shared" ref="Q23:Q24" si="5">IF(O23&lt;&gt;0,P23/O23,"           -")</f>
        <v>-4.3172219615204128E-2</v>
      </c>
      <c r="R23" s="7"/>
      <c r="T23" s="7"/>
    </row>
    <row r="24" spans="1:20">
      <c r="D24" s="23" t="s">
        <v>15</v>
      </c>
      <c r="E24" s="13">
        <v>211</v>
      </c>
      <c r="F24" s="13">
        <v>208</v>
      </c>
      <c r="G24" s="13">
        <v>230</v>
      </c>
      <c r="H24" s="13">
        <v>210</v>
      </c>
      <c r="I24" s="13">
        <v>240</v>
      </c>
      <c r="J24" s="23">
        <v>245</v>
      </c>
      <c r="K24" s="23">
        <v>229</v>
      </c>
      <c r="L24" s="23">
        <v>206</v>
      </c>
      <c r="M24" s="23">
        <v>208</v>
      </c>
      <c r="N24" s="23">
        <v>217</v>
      </c>
      <c r="O24" s="23">
        <v>212</v>
      </c>
      <c r="P24" s="22">
        <f t="shared" si="4"/>
        <v>-5</v>
      </c>
      <c r="Q24" s="15">
        <f t="shared" si="5"/>
        <v>-2.358490566037736E-2</v>
      </c>
      <c r="R24" s="7"/>
      <c r="T24" s="7"/>
    </row>
    <row r="25" spans="1:20">
      <c r="D25" s="23"/>
      <c r="E25" s="13"/>
      <c r="F25" s="13"/>
      <c r="G25" s="13"/>
      <c r="H25" s="13"/>
      <c r="I25" s="13"/>
      <c r="J25" s="13"/>
      <c r="K25" s="23"/>
      <c r="L25" s="23"/>
      <c r="M25" s="23"/>
      <c r="N25" s="23"/>
      <c r="O25" s="23"/>
      <c r="P25" s="22"/>
      <c r="Q25" s="15"/>
      <c r="R25" s="7"/>
      <c r="T25" s="7"/>
    </row>
    <row r="26" spans="1:20" ht="15.75">
      <c r="C26" s="16" t="s">
        <v>16</v>
      </c>
      <c r="D26" s="23"/>
      <c r="E26" s="13"/>
      <c r="F26" s="13"/>
      <c r="G26" s="13"/>
      <c r="H26" s="13"/>
      <c r="I26" s="13"/>
      <c r="J26" s="13"/>
      <c r="K26" s="23"/>
      <c r="L26" s="23"/>
      <c r="M26" s="23"/>
      <c r="N26" s="23"/>
      <c r="O26" s="22"/>
      <c r="P26" s="15"/>
      <c r="Q26" s="7"/>
      <c r="R26" s="7"/>
    </row>
    <row r="27" spans="1:20" ht="15.75">
      <c r="C27" s="16"/>
      <c r="D27" s="33" t="s">
        <v>45</v>
      </c>
      <c r="E27" s="35" t="s">
        <v>2</v>
      </c>
      <c r="F27" s="35" t="s">
        <v>3</v>
      </c>
      <c r="G27" s="35" t="s">
        <v>4</v>
      </c>
      <c r="H27" s="35" t="s">
        <v>5</v>
      </c>
      <c r="I27" s="35" t="s">
        <v>46</v>
      </c>
      <c r="J27" s="34" t="s">
        <v>47</v>
      </c>
      <c r="K27" s="34" t="s">
        <v>42</v>
      </c>
      <c r="L27" s="34" t="s">
        <v>43</v>
      </c>
      <c r="M27" s="34" t="s">
        <v>44</v>
      </c>
      <c r="N27" s="34" t="s">
        <v>54</v>
      </c>
      <c r="O27" s="34" t="s">
        <v>55</v>
      </c>
      <c r="P27" s="36" t="s">
        <v>49</v>
      </c>
      <c r="Q27" s="37" t="s">
        <v>50</v>
      </c>
      <c r="R27" s="7"/>
      <c r="T27" s="7"/>
    </row>
    <row r="28" spans="1:20">
      <c r="D28" s="23" t="s">
        <v>8</v>
      </c>
      <c r="E28" s="13">
        <v>42</v>
      </c>
      <c r="F28" s="13">
        <v>35</v>
      </c>
      <c r="G28" s="13">
        <v>28</v>
      </c>
      <c r="H28" s="13">
        <v>26</v>
      </c>
      <c r="I28" s="13">
        <v>26</v>
      </c>
      <c r="J28" s="23">
        <v>27</v>
      </c>
      <c r="K28" s="23">
        <v>27</v>
      </c>
      <c r="L28" s="23">
        <v>26</v>
      </c>
      <c r="M28" s="23">
        <v>29</v>
      </c>
      <c r="N28" s="23">
        <v>21</v>
      </c>
      <c r="O28" s="23">
        <v>26</v>
      </c>
      <c r="P28" s="22">
        <f>Table663123[[#This Row],[10/31/23]]-Table663123[[#This Row],[10/31/22]]</f>
        <v>5</v>
      </c>
      <c r="Q28" s="15">
        <f t="shared" ref="Q28:Q32" si="6">IF(O28&lt;&gt;0,P28/O28,"           -")</f>
        <v>0.19230769230769232</v>
      </c>
      <c r="R28" s="7"/>
      <c r="T28" s="7"/>
    </row>
    <row r="29" spans="1:20">
      <c r="D29" s="23" t="s">
        <v>9</v>
      </c>
      <c r="E29" s="13">
        <v>589</v>
      </c>
      <c r="F29" s="13">
        <v>594</v>
      </c>
      <c r="G29" s="13">
        <v>581</v>
      </c>
      <c r="H29" s="13">
        <v>601</v>
      </c>
      <c r="I29" s="13">
        <v>607</v>
      </c>
      <c r="J29" s="23">
        <v>621</v>
      </c>
      <c r="K29" s="23">
        <v>617</v>
      </c>
      <c r="L29" s="23">
        <v>584</v>
      </c>
      <c r="M29" s="23">
        <v>597</v>
      </c>
      <c r="N29" s="23">
        <v>624</v>
      </c>
      <c r="O29" s="23">
        <v>586</v>
      </c>
      <c r="P29" s="22">
        <f>Table663123[[#This Row],[10/31/23]]-Table663123[[#This Row],[10/31/22]]</f>
        <v>-38</v>
      </c>
      <c r="Q29" s="15">
        <f t="shared" si="6"/>
        <v>-6.4846416382252553E-2</v>
      </c>
      <c r="R29" s="7"/>
      <c r="T29" s="7"/>
    </row>
    <row r="30" spans="1:20">
      <c r="D30" s="23" t="s">
        <v>10</v>
      </c>
      <c r="E30" s="13">
        <v>687</v>
      </c>
      <c r="F30" s="13">
        <f>SUM(551 + 134)</f>
        <v>685</v>
      </c>
      <c r="G30" s="13">
        <f>528 +123</f>
        <v>651</v>
      </c>
      <c r="H30" s="13">
        <f>550+116</f>
        <v>666</v>
      </c>
      <c r="I30" s="13">
        <v>676</v>
      </c>
      <c r="J30" s="23">
        <v>714</v>
      </c>
      <c r="K30" s="23">
        <v>755</v>
      </c>
      <c r="L30" s="23">
        <v>769</v>
      </c>
      <c r="M30" s="23">
        <v>829</v>
      </c>
      <c r="N30" s="23">
        <v>880</v>
      </c>
      <c r="O30" s="23">
        <v>941</v>
      </c>
      <c r="P30" s="22">
        <f>Table663123[[#This Row],[10/31/23]]-Table663123[[#This Row],[10/31/22]]</f>
        <v>61</v>
      </c>
      <c r="Q30" s="15">
        <f t="shared" si="6"/>
        <v>6.482465462274177E-2</v>
      </c>
      <c r="R30" s="7"/>
      <c r="T30" s="7"/>
    </row>
    <row r="31" spans="1:20">
      <c r="D31" s="23" t="s">
        <v>11</v>
      </c>
      <c r="E31" s="13">
        <v>779</v>
      </c>
      <c r="F31" s="13">
        <f>752</f>
        <v>752</v>
      </c>
      <c r="G31" s="13">
        <v>734</v>
      </c>
      <c r="H31" s="13">
        <v>732</v>
      </c>
      <c r="I31" s="13">
        <v>717</v>
      </c>
      <c r="J31" s="23">
        <v>707</v>
      </c>
      <c r="K31" s="23">
        <v>677</v>
      </c>
      <c r="L31" s="23">
        <v>655</v>
      </c>
      <c r="M31" s="23">
        <v>603</v>
      </c>
      <c r="N31" s="23">
        <v>596</v>
      </c>
      <c r="O31" s="23">
        <v>487</v>
      </c>
      <c r="P31" s="22">
        <f>Table663123[[#This Row],[10/31/23]]-Table663123[[#This Row],[10/31/22]]</f>
        <v>-109</v>
      </c>
      <c r="Q31" s="15">
        <f t="shared" si="6"/>
        <v>-0.22381930184804927</v>
      </c>
      <c r="R31" s="7"/>
      <c r="T31" s="7"/>
    </row>
    <row r="32" spans="1:20">
      <c r="A32" s="65"/>
      <c r="D32" s="23" t="s">
        <v>7</v>
      </c>
      <c r="E32" s="13">
        <f>SUM(E28:E31)</f>
        <v>2097</v>
      </c>
      <c r="F32" s="13">
        <f>SUM(F28:F31)</f>
        <v>2066</v>
      </c>
      <c r="G32" s="13">
        <f>SUM(G28:G31)</f>
        <v>1994</v>
      </c>
      <c r="H32" s="13">
        <f>SUM(H28:H31)</f>
        <v>2025</v>
      </c>
      <c r="I32" s="13">
        <v>2026</v>
      </c>
      <c r="J32" s="13">
        <v>2069</v>
      </c>
      <c r="K32" s="13">
        <v>2076</v>
      </c>
      <c r="L32" s="13">
        <v>2034</v>
      </c>
      <c r="M32" s="13">
        <v>2058</v>
      </c>
      <c r="N32" s="13">
        <v>2121</v>
      </c>
      <c r="O32" s="13">
        <f>SUBTOTAL(109,O28:O31)</f>
        <v>2040</v>
      </c>
      <c r="P32" s="22">
        <f>Table663123[[#This Row],[10/31/23]]-Table663123[[#This Row],[10/31/22]]</f>
        <v>-81</v>
      </c>
      <c r="Q32" s="15">
        <f t="shared" si="6"/>
        <v>-3.9705882352941174E-2</v>
      </c>
      <c r="R32" s="23"/>
      <c r="T32" s="7"/>
    </row>
    <row r="33" spans="2:20">
      <c r="D33" s="2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2"/>
      <c r="P33" s="15"/>
      <c r="Q33" s="23"/>
      <c r="R33" s="7"/>
    </row>
    <row r="34" spans="2:20">
      <c r="E34" s="13"/>
      <c r="I34" s="13"/>
      <c r="J34" s="13"/>
      <c r="K34" s="7"/>
      <c r="L34" s="7"/>
      <c r="M34" s="7"/>
      <c r="N34" s="7"/>
      <c r="O34" s="22"/>
      <c r="P34" s="15"/>
      <c r="Q34" s="7"/>
      <c r="R34" s="7"/>
    </row>
    <row r="35" spans="2:20" ht="18.75">
      <c r="B35" s="12" t="s">
        <v>51</v>
      </c>
      <c r="E35" s="13"/>
      <c r="I35" s="13"/>
      <c r="J35" s="13"/>
      <c r="K35" s="7"/>
      <c r="L35" s="7"/>
      <c r="M35" s="7"/>
      <c r="N35" s="7"/>
      <c r="O35" s="22"/>
      <c r="P35" s="15"/>
      <c r="Q35" s="7"/>
      <c r="R35" s="7"/>
    </row>
    <row r="36" spans="2:20">
      <c r="E36" s="13"/>
      <c r="I36" s="13"/>
      <c r="J36" s="13"/>
      <c r="K36" s="7"/>
      <c r="L36" s="7"/>
      <c r="M36" s="7"/>
      <c r="N36" s="7"/>
      <c r="O36" s="22"/>
      <c r="P36" s="15"/>
      <c r="Q36" s="7"/>
      <c r="R36" s="7"/>
    </row>
    <row r="37" spans="2:20" ht="18.75">
      <c r="C37" s="16" t="s">
        <v>52</v>
      </c>
      <c r="E37" s="13"/>
      <c r="I37" s="13"/>
      <c r="J37" s="13"/>
      <c r="K37" s="7"/>
      <c r="L37" s="7"/>
      <c r="M37" s="7"/>
      <c r="N37" s="7"/>
      <c r="O37" s="22"/>
      <c r="P37" s="15"/>
      <c r="Q37" s="7"/>
      <c r="R37" s="7"/>
    </row>
    <row r="38" spans="2:20" ht="15.75">
      <c r="C38" s="16"/>
      <c r="D38" s="33" t="s">
        <v>45</v>
      </c>
      <c r="E38" s="35" t="s">
        <v>2</v>
      </c>
      <c r="F38" s="35" t="s">
        <v>3</v>
      </c>
      <c r="G38" s="35" t="s">
        <v>4</v>
      </c>
      <c r="H38" s="35" t="s">
        <v>5</v>
      </c>
      <c r="I38" s="35" t="s">
        <v>46</v>
      </c>
      <c r="J38" s="34" t="s">
        <v>47</v>
      </c>
      <c r="K38" s="34" t="s">
        <v>42</v>
      </c>
      <c r="L38" s="34" t="s">
        <v>43</v>
      </c>
      <c r="M38" s="34" t="s">
        <v>44</v>
      </c>
      <c r="N38" s="34" t="s">
        <v>54</v>
      </c>
      <c r="O38" s="34" t="s">
        <v>55</v>
      </c>
      <c r="P38" s="36" t="s">
        <v>49</v>
      </c>
      <c r="Q38" s="37" t="s">
        <v>50</v>
      </c>
      <c r="R38" s="7"/>
      <c r="T38" s="7"/>
    </row>
    <row r="39" spans="2:20">
      <c r="D39" s="23" t="s">
        <v>8</v>
      </c>
      <c r="E39" s="25">
        <v>39.700000000000003</v>
      </c>
      <c r="F39" s="25">
        <f>30.7 + 0.54 + 0.85</f>
        <v>32.089999999999996</v>
      </c>
      <c r="G39" s="25">
        <f>24.6+0.25+1.14</f>
        <v>25.990000000000002</v>
      </c>
      <c r="H39" s="25">
        <v>26</v>
      </c>
      <c r="I39" s="25">
        <v>24</v>
      </c>
      <c r="J39" s="45">
        <v>25</v>
      </c>
      <c r="K39" s="45">
        <v>24</v>
      </c>
      <c r="L39" s="45">
        <v>24</v>
      </c>
      <c r="M39" s="45">
        <v>27</v>
      </c>
      <c r="N39" s="45">
        <v>21</v>
      </c>
      <c r="O39" s="45">
        <v>24</v>
      </c>
      <c r="P39" s="22">
        <f t="shared" ref="P39:P43" si="7">O39-N39</f>
        <v>3</v>
      </c>
      <c r="Q39" s="15">
        <f t="shared" ref="Q39:Q43" si="8">IF(O39&lt;&gt;0,P39/O39,"           -")</f>
        <v>0.125</v>
      </c>
      <c r="R39" s="7"/>
      <c r="T39" s="7"/>
    </row>
    <row r="40" spans="2:20">
      <c r="D40" s="23" t="s">
        <v>9</v>
      </c>
      <c r="E40" s="25">
        <v>618.9</v>
      </c>
      <c r="F40" s="25">
        <f>524.96 + 10.05 + 37.14 + 1 +37.98 + 8.52</f>
        <v>619.65</v>
      </c>
      <c r="G40" s="25">
        <v>591.74</v>
      </c>
      <c r="H40" s="25">
        <v>593</v>
      </c>
      <c r="I40" s="25">
        <v>585</v>
      </c>
      <c r="J40" s="45">
        <v>604</v>
      </c>
      <c r="K40" s="45">
        <v>594</v>
      </c>
      <c r="L40" s="45">
        <v>563</v>
      </c>
      <c r="M40" s="45">
        <v>584</v>
      </c>
      <c r="N40" s="45">
        <v>619</v>
      </c>
      <c r="O40" s="45">
        <v>581</v>
      </c>
      <c r="P40" s="22">
        <f t="shared" si="7"/>
        <v>-38</v>
      </c>
      <c r="Q40" s="15">
        <f t="shared" si="8"/>
        <v>-6.5404475043029264E-2</v>
      </c>
      <c r="R40" s="7"/>
      <c r="T40" s="7"/>
    </row>
    <row r="41" spans="2:20">
      <c r="D41" s="23" t="s">
        <v>10</v>
      </c>
      <c r="E41" s="25">
        <f>320.36 + 2.02 + 4.59 + 47.31 + 3.7 + 7.23 + 6.08 + 97.76 + 0.64 + 0.14 + 2.55 + 1 + 1.2 + 3</f>
        <v>497.57999999999993</v>
      </c>
      <c r="F41" s="25">
        <f>SUM(325.14 + 2.18 + 2.59 + 37.79 + 3.09 + 9.02 + 4.65 + 96.32 + 2.42 + 0.14 + 4.55 + 1.2 + 0.5)</f>
        <v>489.58999999999992</v>
      </c>
      <c r="G41" s="25">
        <f>306+3.19+7.87+39.25+5.5+8.4+2+83.54+1.26+0.14+3.55+0.2+1.2+1</f>
        <v>463.09999999999997</v>
      </c>
      <c r="H41" s="25">
        <v>440</v>
      </c>
      <c r="I41" s="25">
        <v>452</v>
      </c>
      <c r="J41" s="45">
        <v>479</v>
      </c>
      <c r="K41" s="45">
        <v>513</v>
      </c>
      <c r="L41" s="45">
        <v>510</v>
      </c>
      <c r="M41" s="45">
        <v>592</v>
      </c>
      <c r="N41" s="45">
        <v>642</v>
      </c>
      <c r="O41" s="45">
        <v>700</v>
      </c>
      <c r="P41" s="22">
        <f t="shared" si="7"/>
        <v>58</v>
      </c>
      <c r="Q41" s="15">
        <f t="shared" si="8"/>
        <v>8.2857142857142851E-2</v>
      </c>
      <c r="R41" s="7"/>
      <c r="T41" s="7"/>
    </row>
    <row r="42" spans="2:20">
      <c r="D42" s="23" t="s">
        <v>11</v>
      </c>
      <c r="E42" s="25">
        <f>486.05 + 3.04 + 1 + 76.8 + 0.5 + 15.38 + 2.25</f>
        <v>585.02</v>
      </c>
      <c r="F42" s="25">
        <f>464.25+3.64+1+74.46+0.75+16.87+1</f>
        <v>561.97</v>
      </c>
      <c r="G42" s="25">
        <f>441.79+0.75+0.5+68.39+2.31+17.42+1</f>
        <v>532.16</v>
      </c>
      <c r="H42" s="25">
        <v>501</v>
      </c>
      <c r="I42" s="25">
        <v>491</v>
      </c>
      <c r="J42" s="45">
        <v>485</v>
      </c>
      <c r="K42" s="45">
        <v>469</v>
      </c>
      <c r="L42" s="45">
        <v>464</v>
      </c>
      <c r="M42" s="45">
        <v>435</v>
      </c>
      <c r="N42" s="45">
        <v>425</v>
      </c>
      <c r="O42" s="45">
        <v>416</v>
      </c>
      <c r="P42" s="22">
        <f t="shared" si="7"/>
        <v>-9</v>
      </c>
      <c r="Q42" s="15">
        <f t="shared" si="8"/>
        <v>-2.1634615384615384E-2</v>
      </c>
      <c r="R42" s="7"/>
      <c r="T42" s="7"/>
    </row>
    <row r="43" spans="2:20">
      <c r="D43" s="23" t="s">
        <v>7</v>
      </c>
      <c r="E43" s="13">
        <f t="shared" ref="E43:H43" si="9">SUM(E39:E42)</f>
        <v>1741.1999999999998</v>
      </c>
      <c r="F43" s="13">
        <f t="shared" si="9"/>
        <v>1703.3</v>
      </c>
      <c r="G43" s="13">
        <f t="shared" si="9"/>
        <v>1612.9899999999998</v>
      </c>
      <c r="H43" s="13">
        <f t="shared" si="9"/>
        <v>1560</v>
      </c>
      <c r="I43" s="13">
        <v>1552</v>
      </c>
      <c r="J43" s="13">
        <v>1593</v>
      </c>
      <c r="K43" s="13">
        <v>1600</v>
      </c>
      <c r="L43" s="13">
        <v>1561</v>
      </c>
      <c r="M43" s="13">
        <v>1638</v>
      </c>
      <c r="N43" s="13">
        <v>1707</v>
      </c>
      <c r="O43" s="13">
        <f>SUBTOTAL(109,O39:O42)</f>
        <v>1721</v>
      </c>
      <c r="P43" s="22">
        <f t="shared" si="7"/>
        <v>14</v>
      </c>
      <c r="Q43" s="15">
        <f t="shared" si="8"/>
        <v>8.1348053457292267E-3</v>
      </c>
      <c r="R43" s="23"/>
      <c r="T43" s="7"/>
    </row>
    <row r="44" spans="2:20">
      <c r="E44" s="13"/>
      <c r="F44" s="27"/>
      <c r="G44" s="27"/>
      <c r="H44" s="27"/>
      <c r="I44" s="25"/>
      <c r="J44" s="25"/>
      <c r="K44" s="28"/>
      <c r="L44" s="28"/>
      <c r="M44" s="28"/>
      <c r="N44" s="28"/>
      <c r="O44" s="22"/>
      <c r="P44" s="15"/>
      <c r="Q44" s="7"/>
      <c r="R44" s="7"/>
    </row>
    <row r="45" spans="2:20" ht="18.75">
      <c r="C45" s="16" t="s">
        <v>53</v>
      </c>
      <c r="E45" s="13"/>
      <c r="F45" s="27"/>
      <c r="G45" s="27"/>
      <c r="H45" s="27"/>
      <c r="I45" s="25"/>
      <c r="J45" s="25"/>
      <c r="K45" s="28"/>
      <c r="L45" s="28"/>
      <c r="M45" s="28"/>
      <c r="N45" s="28"/>
      <c r="O45" s="22"/>
      <c r="P45" s="15"/>
      <c r="Q45" s="7"/>
      <c r="R45" s="7"/>
    </row>
    <row r="46" spans="2:20" ht="15.75">
      <c r="C46" s="16"/>
      <c r="D46" s="33" t="s">
        <v>45</v>
      </c>
      <c r="E46" s="35" t="s">
        <v>2</v>
      </c>
      <c r="F46" s="35" t="s">
        <v>3</v>
      </c>
      <c r="G46" s="35" t="s">
        <v>4</v>
      </c>
      <c r="H46" s="35" t="s">
        <v>5</v>
      </c>
      <c r="I46" s="35" t="s">
        <v>46</v>
      </c>
      <c r="J46" s="34" t="s">
        <v>47</v>
      </c>
      <c r="K46" s="34" t="s">
        <v>42</v>
      </c>
      <c r="L46" s="34" t="s">
        <v>43</v>
      </c>
      <c r="M46" s="34" t="s">
        <v>44</v>
      </c>
      <c r="N46" s="34" t="s">
        <v>54</v>
      </c>
      <c r="O46" s="34" t="s">
        <v>55</v>
      </c>
      <c r="P46" s="36" t="s">
        <v>49</v>
      </c>
      <c r="Q46" s="37" t="s">
        <v>50</v>
      </c>
      <c r="R46" s="7"/>
      <c r="T46" s="7"/>
    </row>
    <row r="47" spans="2:20">
      <c r="D47" s="23" t="s">
        <v>8</v>
      </c>
      <c r="E47" s="25">
        <f t="shared" ref="E47:G50" si="10">E55-E39</f>
        <v>3.5999999999999943</v>
      </c>
      <c r="F47" s="25">
        <f t="shared" si="10"/>
        <v>2.9100000000000037</v>
      </c>
      <c r="G47" s="25">
        <f t="shared" si="10"/>
        <v>2.009999999999998</v>
      </c>
      <c r="H47" s="25">
        <v>3</v>
      </c>
      <c r="I47" s="25">
        <v>2</v>
      </c>
      <c r="J47" s="46">
        <v>2</v>
      </c>
      <c r="K47" s="46">
        <v>3</v>
      </c>
      <c r="L47" s="46">
        <v>2</v>
      </c>
      <c r="M47" s="46">
        <v>2</v>
      </c>
      <c r="N47" s="46">
        <v>0</v>
      </c>
      <c r="O47" s="46">
        <v>2</v>
      </c>
      <c r="P47" s="22">
        <f t="shared" ref="P47:P51" si="11">O47-N47</f>
        <v>2</v>
      </c>
      <c r="Q47" s="15">
        <f t="shared" ref="Q47:Q51" si="12">IF(O47&lt;&gt;0,P47/O47,"           -")</f>
        <v>1</v>
      </c>
      <c r="R47" s="7"/>
      <c r="T47" s="7"/>
    </row>
    <row r="48" spans="2:20">
      <c r="D48" s="23" t="s">
        <v>9</v>
      </c>
      <c r="E48" s="25">
        <f t="shared" si="10"/>
        <v>77.100000000000023</v>
      </c>
      <c r="F48" s="25">
        <f t="shared" si="10"/>
        <v>73.13</v>
      </c>
      <c r="G48" s="25">
        <f t="shared" si="10"/>
        <v>79.759999999999991</v>
      </c>
      <c r="H48" s="25">
        <v>116</v>
      </c>
      <c r="I48" s="25">
        <v>112</v>
      </c>
      <c r="J48" s="46">
        <v>113</v>
      </c>
      <c r="K48" s="46">
        <v>110</v>
      </c>
      <c r="L48" s="46">
        <v>112</v>
      </c>
      <c r="M48" s="46">
        <v>100</v>
      </c>
      <c r="N48" s="46">
        <v>85</v>
      </c>
      <c r="O48" s="46">
        <v>80</v>
      </c>
      <c r="P48" s="22">
        <f t="shared" si="11"/>
        <v>-5</v>
      </c>
      <c r="Q48" s="15">
        <f t="shared" si="12"/>
        <v>-6.25E-2</v>
      </c>
      <c r="R48" s="7"/>
      <c r="T48" s="7"/>
    </row>
    <row r="49" spans="2:20">
      <c r="D49" s="23" t="s">
        <v>10</v>
      </c>
      <c r="E49" s="25">
        <f t="shared" si="10"/>
        <v>216.16000000000008</v>
      </c>
      <c r="F49" s="25">
        <f t="shared" si="10"/>
        <v>221.49000000000012</v>
      </c>
      <c r="G49" s="25">
        <f t="shared" si="10"/>
        <v>210.89000000000004</v>
      </c>
      <c r="H49" s="25">
        <v>254</v>
      </c>
      <c r="I49" s="25">
        <v>244</v>
      </c>
      <c r="J49" s="46">
        <v>265</v>
      </c>
      <c r="K49" s="46">
        <v>267</v>
      </c>
      <c r="L49" s="46">
        <v>286</v>
      </c>
      <c r="M49" s="46">
        <v>267</v>
      </c>
      <c r="N49" s="46">
        <v>267</v>
      </c>
      <c r="O49" s="46">
        <v>269</v>
      </c>
      <c r="P49" s="22">
        <f t="shared" si="11"/>
        <v>2</v>
      </c>
      <c r="Q49" s="15">
        <f t="shared" si="12"/>
        <v>7.4349442379182153E-3</v>
      </c>
      <c r="R49" s="7"/>
      <c r="T49" s="7"/>
    </row>
    <row r="50" spans="2:20">
      <c r="D50" s="23" t="s">
        <v>11</v>
      </c>
      <c r="E50" s="25">
        <f t="shared" si="10"/>
        <v>238.06000000000006</v>
      </c>
      <c r="F50" s="25">
        <f t="shared" si="10"/>
        <v>227.30999999999995</v>
      </c>
      <c r="G50" s="25">
        <f t="shared" si="10"/>
        <v>236.01</v>
      </c>
      <c r="H50" s="25">
        <v>259</v>
      </c>
      <c r="I50" s="25">
        <v>252</v>
      </c>
      <c r="J50" s="46">
        <v>252</v>
      </c>
      <c r="K50" s="46">
        <v>241</v>
      </c>
      <c r="L50" s="46">
        <v>221</v>
      </c>
      <c r="M50" s="46">
        <v>192</v>
      </c>
      <c r="N50" s="46">
        <v>194</v>
      </c>
      <c r="O50" s="46">
        <v>88</v>
      </c>
      <c r="P50" s="22">
        <f t="shared" si="11"/>
        <v>-106</v>
      </c>
      <c r="Q50" s="15">
        <f t="shared" si="12"/>
        <v>-1.2045454545454546</v>
      </c>
      <c r="R50" s="7"/>
      <c r="T50" s="7"/>
    </row>
    <row r="51" spans="2:20">
      <c r="D51" s="23" t="s">
        <v>7</v>
      </c>
      <c r="E51" s="25">
        <f t="shared" ref="E51:H51" si="13">SUM(E47:E50)</f>
        <v>534.92000000000019</v>
      </c>
      <c r="F51" s="25">
        <f t="shared" si="13"/>
        <v>524.84</v>
      </c>
      <c r="G51" s="25">
        <f t="shared" si="13"/>
        <v>528.67000000000007</v>
      </c>
      <c r="H51" s="25">
        <f t="shared" si="13"/>
        <v>632</v>
      </c>
      <c r="I51" s="25">
        <v>610</v>
      </c>
      <c r="J51" s="25">
        <v>632</v>
      </c>
      <c r="K51" s="25">
        <v>621</v>
      </c>
      <c r="L51" s="25">
        <v>621</v>
      </c>
      <c r="M51" s="25">
        <v>561</v>
      </c>
      <c r="N51" s="25">
        <v>546</v>
      </c>
      <c r="O51" s="25">
        <f>SUBTOTAL(109,O47:O50)</f>
        <v>439</v>
      </c>
      <c r="P51" s="22">
        <f t="shared" si="11"/>
        <v>-107</v>
      </c>
      <c r="Q51" s="15">
        <f t="shared" si="12"/>
        <v>-0.24373576309794989</v>
      </c>
      <c r="R51" s="7"/>
      <c r="T51" s="7"/>
    </row>
    <row r="52" spans="2:20">
      <c r="E52" s="13"/>
      <c r="F52" s="27"/>
      <c r="G52" s="27"/>
      <c r="H52" s="27"/>
      <c r="I52" s="25"/>
      <c r="J52" s="25"/>
      <c r="K52" s="7"/>
      <c r="L52" s="7"/>
      <c r="M52" s="7"/>
      <c r="N52" s="7"/>
      <c r="O52" s="22"/>
      <c r="P52" s="15"/>
      <c r="Q52" s="7"/>
      <c r="R52" s="7"/>
    </row>
    <row r="53" spans="2:20" ht="15.75">
      <c r="C53" s="16" t="s">
        <v>17</v>
      </c>
      <c r="E53" s="13"/>
      <c r="F53" s="27"/>
      <c r="G53" s="27"/>
      <c r="H53" s="27"/>
      <c r="I53" s="25"/>
      <c r="J53" s="25"/>
      <c r="K53" s="7"/>
      <c r="L53" s="7"/>
      <c r="M53" s="7"/>
      <c r="N53" s="7"/>
      <c r="O53" s="22"/>
      <c r="P53" s="15"/>
      <c r="Q53" s="7"/>
      <c r="R53" s="7"/>
    </row>
    <row r="54" spans="2:20" ht="15.75">
      <c r="C54" s="16"/>
      <c r="D54" s="33" t="s">
        <v>45</v>
      </c>
      <c r="E54" s="35" t="s">
        <v>2</v>
      </c>
      <c r="F54" s="35" t="s">
        <v>3</v>
      </c>
      <c r="G54" s="35" t="s">
        <v>4</v>
      </c>
      <c r="H54" s="35" t="s">
        <v>5</v>
      </c>
      <c r="I54" s="35" t="s">
        <v>46</v>
      </c>
      <c r="J54" s="34" t="s">
        <v>47</v>
      </c>
      <c r="K54" s="34" t="s">
        <v>42</v>
      </c>
      <c r="L54" s="34" t="s">
        <v>43</v>
      </c>
      <c r="M54" s="34" t="s">
        <v>44</v>
      </c>
      <c r="N54" s="34" t="s">
        <v>54</v>
      </c>
      <c r="O54" s="34" t="s">
        <v>55</v>
      </c>
      <c r="P54" s="36" t="s">
        <v>49</v>
      </c>
      <c r="Q54" s="37" t="s">
        <v>50</v>
      </c>
      <c r="R54" s="7"/>
      <c r="T54" s="7"/>
    </row>
    <row r="55" spans="2:20">
      <c r="D55" s="23" t="s">
        <v>8</v>
      </c>
      <c r="E55" s="25">
        <f>43.3</f>
        <v>43.3</v>
      </c>
      <c r="F55" s="25">
        <f>35</f>
        <v>35</v>
      </c>
      <c r="G55" s="25">
        <v>28</v>
      </c>
      <c r="H55" s="25">
        <f>H47+H39</f>
        <v>29</v>
      </c>
      <c r="I55" s="25">
        <v>26</v>
      </c>
      <c r="J55" s="25">
        <v>27</v>
      </c>
      <c r="K55" s="25">
        <v>27</v>
      </c>
      <c r="L55" s="25">
        <v>26</v>
      </c>
      <c r="M55" s="25">
        <v>29</v>
      </c>
      <c r="N55" s="25">
        <v>21</v>
      </c>
      <c r="O55" s="25">
        <v>26</v>
      </c>
      <c r="P55" s="22">
        <f t="shared" ref="P55:P59" si="14">O55-N55</f>
        <v>5</v>
      </c>
      <c r="Q55" s="15">
        <f t="shared" ref="Q55:Q59" si="15">IF(O55&lt;&gt;0,P55/O55,"           -")</f>
        <v>0.19230769230769232</v>
      </c>
      <c r="R55" s="7"/>
      <c r="T55" s="7"/>
    </row>
    <row r="56" spans="2:20">
      <c r="D56" s="23" t="s">
        <v>9</v>
      </c>
      <c r="E56" s="25">
        <f>696</f>
        <v>696</v>
      </c>
      <c r="F56" s="25">
        <f>692.78</f>
        <v>692.78</v>
      </c>
      <c r="G56" s="25">
        <v>671.5</v>
      </c>
      <c r="H56" s="25">
        <f>H48+H40</f>
        <v>709</v>
      </c>
      <c r="I56" s="25">
        <v>697</v>
      </c>
      <c r="J56" s="25">
        <v>717</v>
      </c>
      <c r="K56" s="25">
        <v>704</v>
      </c>
      <c r="L56" s="25">
        <v>675</v>
      </c>
      <c r="M56" s="25">
        <v>684</v>
      </c>
      <c r="N56" s="25">
        <v>704</v>
      </c>
      <c r="O56" s="25">
        <v>661</v>
      </c>
      <c r="P56" s="22">
        <f t="shared" si="14"/>
        <v>-43</v>
      </c>
      <c r="Q56" s="15">
        <f t="shared" si="15"/>
        <v>-6.5052950075642962E-2</v>
      </c>
      <c r="R56" s="7"/>
      <c r="T56" s="7"/>
    </row>
    <row r="57" spans="2:20">
      <c r="D57" s="23" t="s">
        <v>10</v>
      </c>
      <c r="E57" s="25">
        <f>571.41 + 142.33</f>
        <v>713.74</v>
      </c>
      <c r="F57" s="25">
        <f>575.08 + 136</f>
        <v>711.08</v>
      </c>
      <c r="G57" s="25">
        <f>550.49+123.5</f>
        <v>673.99</v>
      </c>
      <c r="H57" s="25">
        <f>H49+H41</f>
        <v>694</v>
      </c>
      <c r="I57" s="25">
        <v>696</v>
      </c>
      <c r="J57" s="25">
        <v>744</v>
      </c>
      <c r="K57" s="25">
        <v>780</v>
      </c>
      <c r="L57" s="25">
        <v>796</v>
      </c>
      <c r="M57" s="25">
        <v>859</v>
      </c>
      <c r="N57" s="25">
        <v>909</v>
      </c>
      <c r="O57" s="25">
        <v>969</v>
      </c>
      <c r="P57" s="22">
        <f t="shared" si="14"/>
        <v>60</v>
      </c>
      <c r="Q57" s="15">
        <f t="shared" si="15"/>
        <v>6.1919504643962849E-2</v>
      </c>
      <c r="R57" s="7"/>
      <c r="S57" s="10"/>
      <c r="T57" s="7"/>
    </row>
    <row r="58" spans="2:20">
      <c r="D58" s="23" t="s">
        <v>11</v>
      </c>
      <c r="E58" s="25">
        <f>823.08</f>
        <v>823.08</v>
      </c>
      <c r="F58" s="25">
        <f>789.28</f>
        <v>789.28</v>
      </c>
      <c r="G58" s="25">
        <v>768.17</v>
      </c>
      <c r="H58" s="25">
        <f>H50+H42</f>
        <v>760</v>
      </c>
      <c r="I58" s="25">
        <v>743</v>
      </c>
      <c r="J58" s="25">
        <v>737</v>
      </c>
      <c r="K58" s="25">
        <v>710</v>
      </c>
      <c r="L58" s="25">
        <v>685</v>
      </c>
      <c r="M58" s="25">
        <v>627</v>
      </c>
      <c r="N58" s="25">
        <v>619</v>
      </c>
      <c r="O58" s="25">
        <v>504</v>
      </c>
      <c r="P58" s="22">
        <f t="shared" si="14"/>
        <v>-115</v>
      </c>
      <c r="Q58" s="15">
        <f t="shared" si="15"/>
        <v>-0.22817460317460317</v>
      </c>
      <c r="R58" s="7"/>
      <c r="S58" s="66"/>
      <c r="T58" s="7"/>
    </row>
    <row r="59" spans="2:20">
      <c r="D59" s="23" t="s">
        <v>7</v>
      </c>
      <c r="E59" s="13">
        <f t="shared" ref="E59:H59" si="16">SUM(E55:E58)</f>
        <v>2276.12</v>
      </c>
      <c r="F59" s="13">
        <f t="shared" si="16"/>
        <v>2228.1400000000003</v>
      </c>
      <c r="G59" s="13">
        <f t="shared" si="16"/>
        <v>2141.66</v>
      </c>
      <c r="H59" s="13">
        <f t="shared" si="16"/>
        <v>2192</v>
      </c>
      <c r="I59" s="13">
        <v>2162</v>
      </c>
      <c r="J59" s="13">
        <v>2225</v>
      </c>
      <c r="K59" s="13">
        <v>2221</v>
      </c>
      <c r="L59" s="13">
        <v>2182</v>
      </c>
      <c r="M59" s="13">
        <v>2199</v>
      </c>
      <c r="N59" s="13">
        <v>2253</v>
      </c>
      <c r="O59" s="13">
        <f>SUBTOTAL(109,O55:O58)</f>
        <v>2160</v>
      </c>
      <c r="P59" s="22">
        <f t="shared" si="14"/>
        <v>-93</v>
      </c>
      <c r="Q59" s="15">
        <f t="shared" si="15"/>
        <v>-4.3055555555555555E-2</v>
      </c>
      <c r="R59" s="23"/>
      <c r="S59" s="10"/>
      <c r="T59" s="7"/>
    </row>
    <row r="60" spans="2:20"/>
    <row r="61" spans="2:20">
      <c r="B61" s="7" t="str">
        <f>"_________________________"</f>
        <v>_________________________</v>
      </c>
    </row>
    <row r="62" spans="2:20" ht="18">
      <c r="C62" s="67">
        <v>1</v>
      </c>
      <c r="D62" s="7" t="s">
        <v>18</v>
      </c>
    </row>
    <row r="63" spans="2:20" ht="18">
      <c r="C63" s="67">
        <v>2</v>
      </c>
      <c r="D63" s="7" t="s">
        <v>19</v>
      </c>
    </row>
    <row r="64" spans="2:20" ht="18">
      <c r="C64" s="67"/>
      <c r="D64" s="7" t="s">
        <v>20</v>
      </c>
    </row>
    <row r="65" spans="2:18" ht="18">
      <c r="C65" s="67">
        <v>3</v>
      </c>
      <c r="D65" s="7" t="s">
        <v>21</v>
      </c>
    </row>
    <row r="66" spans="2:18">
      <c r="D66" s="7" t="s">
        <v>22</v>
      </c>
    </row>
    <row r="67" spans="2:18">
      <c r="D67" s="7" t="s">
        <v>23</v>
      </c>
    </row>
    <row r="68" spans="2:18" ht="18">
      <c r="C68" s="67">
        <v>4</v>
      </c>
      <c r="D68" s="7" t="s">
        <v>24</v>
      </c>
    </row>
    <row r="69" spans="2:18" ht="18">
      <c r="C69" s="67"/>
    </row>
    <row r="70" spans="2:18" ht="18">
      <c r="C70" s="67"/>
    </row>
    <row r="71" spans="2:18" ht="18">
      <c r="C71" s="67"/>
    </row>
    <row r="72" spans="2:18" ht="18">
      <c r="C72" s="67"/>
    </row>
    <row r="73" spans="2:18" ht="18">
      <c r="C73" s="67"/>
    </row>
    <row r="74" spans="2:18" ht="18">
      <c r="B74" s="7" t="s">
        <v>25</v>
      </c>
      <c r="C74" s="67"/>
    </row>
    <row r="75" spans="2:18">
      <c r="B75" s="7" t="str">
        <f>"November 13, 2023"</f>
        <v>November 13, 2023</v>
      </c>
    </row>
    <row r="76" spans="2:18" ht="15.7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8"/>
      <c r="R76" s="8"/>
    </row>
    <row r="77" spans="2:18" ht="15.7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8"/>
      <c r="R77" s="8"/>
    </row>
    <row r="78" spans="2:18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2:18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2:18" ht="15.75">
      <c r="C80" s="8"/>
      <c r="D80" s="8"/>
      <c r="E80" s="8"/>
      <c r="F80" s="8"/>
      <c r="G80" s="8"/>
      <c r="H80" s="8"/>
      <c r="I80" s="40"/>
      <c r="J80" s="9" t="s">
        <v>26</v>
      </c>
      <c r="K80" s="8"/>
      <c r="L80" s="8"/>
      <c r="M80" s="8"/>
      <c r="N80" s="8"/>
      <c r="O80" s="8"/>
      <c r="P80" s="8"/>
      <c r="Q80" s="7"/>
      <c r="R80" s="7"/>
    </row>
    <row r="81" spans="2:20" ht="15.75">
      <c r="C81" s="8"/>
      <c r="D81" s="8"/>
      <c r="E81" s="8"/>
      <c r="F81" s="8"/>
      <c r="G81" s="8"/>
      <c r="H81" s="8"/>
      <c r="I81" s="40"/>
      <c r="J81" s="9" t="s">
        <v>27</v>
      </c>
      <c r="K81" s="8"/>
      <c r="L81" s="8"/>
      <c r="M81" s="8"/>
      <c r="N81" s="8"/>
      <c r="O81" s="8"/>
      <c r="P81" s="8"/>
      <c r="Q81" s="7"/>
      <c r="R81" s="7"/>
    </row>
    <row r="82" spans="2:20">
      <c r="O82" s="38"/>
      <c r="P82" s="38"/>
      <c r="Q82" s="7"/>
      <c r="R82" s="7"/>
    </row>
    <row r="83" spans="2:20">
      <c r="M83" s="11"/>
      <c r="O83" s="14"/>
      <c r="P83" s="14"/>
      <c r="Q83" s="7"/>
      <c r="R83" s="7"/>
    </row>
    <row r="84" spans="2:20" ht="18.75">
      <c r="B84" s="12" t="s">
        <v>48</v>
      </c>
      <c r="E84" s="13"/>
      <c r="H84" s="13"/>
      <c r="I84" s="13"/>
      <c r="J84" s="13"/>
      <c r="K84" s="7"/>
      <c r="L84" s="7"/>
      <c r="M84" s="7"/>
      <c r="N84" s="7"/>
      <c r="O84" s="14"/>
      <c r="P84" s="15"/>
      <c r="Q84" s="7"/>
      <c r="R84" s="7"/>
    </row>
    <row r="85" spans="2:20">
      <c r="E85" s="13"/>
      <c r="H85" s="13"/>
      <c r="I85" s="13"/>
      <c r="J85" s="13"/>
      <c r="K85" s="7"/>
      <c r="L85" s="7"/>
      <c r="M85" s="7"/>
      <c r="N85" s="7"/>
      <c r="O85" s="14"/>
      <c r="P85" s="15"/>
      <c r="Q85" s="7"/>
      <c r="R85" s="7"/>
    </row>
    <row r="86" spans="2:20" ht="15.75">
      <c r="C86" s="16" t="s">
        <v>6</v>
      </c>
      <c r="E86" s="13"/>
      <c r="H86" s="13"/>
      <c r="I86" s="13"/>
      <c r="J86" s="13"/>
      <c r="K86" s="7"/>
      <c r="L86" s="7"/>
      <c r="M86" s="7"/>
      <c r="N86" s="7"/>
      <c r="O86" s="14"/>
      <c r="P86" s="15"/>
      <c r="Q86" s="7"/>
      <c r="R86" s="7"/>
    </row>
    <row r="87" spans="2:20" ht="15.75">
      <c r="C87" s="16"/>
      <c r="D87" s="33" t="s">
        <v>45</v>
      </c>
      <c r="E87" s="35" t="s">
        <v>2</v>
      </c>
      <c r="F87" s="35" t="s">
        <v>3</v>
      </c>
      <c r="G87" s="35" t="s">
        <v>4</v>
      </c>
      <c r="H87" s="35" t="s">
        <v>5</v>
      </c>
      <c r="I87" s="35" t="s">
        <v>46</v>
      </c>
      <c r="J87" s="34" t="s">
        <v>47</v>
      </c>
      <c r="K87" s="34" t="s">
        <v>42</v>
      </c>
      <c r="L87" s="34" t="s">
        <v>43</v>
      </c>
      <c r="M87" s="34" t="s">
        <v>44</v>
      </c>
      <c r="N87" s="34" t="s">
        <v>54</v>
      </c>
      <c r="O87" s="34" t="s">
        <v>55</v>
      </c>
      <c r="P87" s="36" t="s">
        <v>49</v>
      </c>
      <c r="Q87" s="37" t="s">
        <v>50</v>
      </c>
      <c r="R87" s="7"/>
      <c r="T87" s="7"/>
    </row>
    <row r="88" spans="2:20">
      <c r="D88" s="23" t="s">
        <v>7</v>
      </c>
      <c r="E88" s="13">
        <v>509</v>
      </c>
      <c r="F88" s="13">
        <v>479</v>
      </c>
      <c r="G88" s="13">
        <v>461</v>
      </c>
      <c r="H88" s="13">
        <v>451</v>
      </c>
      <c r="I88" s="13">
        <v>462</v>
      </c>
      <c r="J88" s="13">
        <v>454</v>
      </c>
      <c r="K88" s="13">
        <v>469</v>
      </c>
      <c r="L88" s="13">
        <v>447</v>
      </c>
      <c r="M88" s="13">
        <v>436</v>
      </c>
      <c r="N88" s="13">
        <v>435</v>
      </c>
      <c r="O88" s="13">
        <v>453</v>
      </c>
      <c r="P88" s="57">
        <f>O88-N88</f>
        <v>18</v>
      </c>
      <c r="Q88" s="15">
        <f>IF(O88&lt;&gt;0,P88/O88,"           -")</f>
        <v>3.9735099337748346E-2</v>
      </c>
      <c r="R88" s="7"/>
      <c r="T88" s="7"/>
    </row>
    <row r="89" spans="2:20">
      <c r="D89" s="23"/>
      <c r="E89" s="13"/>
      <c r="F89" s="13"/>
      <c r="G89" s="13"/>
      <c r="H89" s="13"/>
      <c r="I89" s="13"/>
      <c r="J89" s="23"/>
      <c r="K89" s="23"/>
      <c r="L89" s="23"/>
      <c r="M89" s="23"/>
      <c r="N89" s="23"/>
      <c r="O89" s="23"/>
      <c r="P89" s="22"/>
      <c r="Q89" s="15"/>
      <c r="R89" s="7"/>
      <c r="T89" s="7"/>
    </row>
    <row r="90" spans="2:20">
      <c r="D90" s="23" t="s">
        <v>8</v>
      </c>
      <c r="E90" s="13">
        <v>13</v>
      </c>
      <c r="F90" s="13">
        <v>13</v>
      </c>
      <c r="G90" s="13">
        <v>9</v>
      </c>
      <c r="H90" s="13">
        <v>9</v>
      </c>
      <c r="I90" s="13">
        <v>9</v>
      </c>
      <c r="J90" s="23">
        <v>9</v>
      </c>
      <c r="K90" s="23">
        <v>9</v>
      </c>
      <c r="L90" s="23">
        <v>8</v>
      </c>
      <c r="M90" s="23">
        <v>7</v>
      </c>
      <c r="N90" s="23">
        <v>6</v>
      </c>
      <c r="O90" s="23">
        <v>8</v>
      </c>
      <c r="P90" s="22">
        <f>O90-N90</f>
        <v>2</v>
      </c>
      <c r="Q90" s="15">
        <f>IF(O90&lt;&gt;0,P90/O90,"           -")</f>
        <v>0.25</v>
      </c>
      <c r="R90" s="7"/>
      <c r="T90" s="7"/>
    </row>
    <row r="91" spans="2:20">
      <c r="D91" s="23" t="s">
        <v>9</v>
      </c>
      <c r="E91" s="13">
        <v>261</v>
      </c>
      <c r="F91" s="13">
        <v>243</v>
      </c>
      <c r="G91" s="13">
        <v>239</v>
      </c>
      <c r="H91" s="13">
        <v>238</v>
      </c>
      <c r="I91" s="13">
        <v>248</v>
      </c>
      <c r="J91" s="23">
        <v>237</v>
      </c>
      <c r="K91" s="23">
        <v>245</v>
      </c>
      <c r="L91" s="23">
        <v>224</v>
      </c>
      <c r="M91" s="23">
        <v>227</v>
      </c>
      <c r="N91" s="23">
        <v>232</v>
      </c>
      <c r="O91" s="23">
        <v>240</v>
      </c>
      <c r="P91" s="22">
        <f t="shared" ref="P91:P93" si="17">O91-N91</f>
        <v>8</v>
      </c>
      <c r="Q91" s="15">
        <f t="shared" ref="Q91:Q93" si="18">IF(O91&lt;&gt;0,P91/O91,"           -")</f>
        <v>3.3333333333333333E-2</v>
      </c>
      <c r="R91" s="7"/>
      <c r="T91" s="7"/>
    </row>
    <row r="92" spans="2:20">
      <c r="D92" s="23" t="s">
        <v>10</v>
      </c>
      <c r="E92" s="13">
        <f>SUM(96 + 31)</f>
        <v>127</v>
      </c>
      <c r="F92" s="13">
        <f>SUM(91 + 30)</f>
        <v>121</v>
      </c>
      <c r="G92" s="13">
        <f>95 + 23</f>
        <v>118</v>
      </c>
      <c r="H92" s="13">
        <f>87+21</f>
        <v>108</v>
      </c>
      <c r="I92" s="13">
        <v>107</v>
      </c>
      <c r="J92" s="23">
        <v>114</v>
      </c>
      <c r="K92" s="23">
        <v>122</v>
      </c>
      <c r="L92" s="23">
        <v>121</v>
      </c>
      <c r="M92" s="23">
        <v>117</v>
      </c>
      <c r="N92" s="23">
        <v>119</v>
      </c>
      <c r="O92" s="23">
        <v>124</v>
      </c>
      <c r="P92" s="22">
        <f t="shared" si="17"/>
        <v>5</v>
      </c>
      <c r="Q92" s="15">
        <f t="shared" si="18"/>
        <v>4.0322580645161289E-2</v>
      </c>
      <c r="R92" s="7"/>
      <c r="T92" s="7"/>
    </row>
    <row r="93" spans="2:20">
      <c r="D93" s="23" t="s">
        <v>11</v>
      </c>
      <c r="E93" s="13">
        <f>108</f>
        <v>108</v>
      </c>
      <c r="F93" s="13">
        <f>102</f>
        <v>102</v>
      </c>
      <c r="G93" s="13">
        <v>95</v>
      </c>
      <c r="H93" s="13">
        <v>96</v>
      </c>
      <c r="I93" s="13">
        <v>98</v>
      </c>
      <c r="J93" s="23">
        <v>94</v>
      </c>
      <c r="K93" s="23">
        <v>93</v>
      </c>
      <c r="L93" s="23">
        <v>93</v>
      </c>
      <c r="M93" s="23">
        <v>85</v>
      </c>
      <c r="N93" s="23">
        <v>78</v>
      </c>
      <c r="O93" s="23">
        <v>81</v>
      </c>
      <c r="P93" s="22">
        <f t="shared" si="17"/>
        <v>3</v>
      </c>
      <c r="Q93" s="15">
        <f t="shared" si="18"/>
        <v>3.7037037037037035E-2</v>
      </c>
      <c r="R93" s="7"/>
      <c r="T93" s="7"/>
    </row>
    <row r="94" spans="2:20">
      <c r="D94" s="23"/>
      <c r="E94" s="13"/>
      <c r="F94" s="13"/>
      <c r="G94" s="13"/>
      <c r="H94" s="13"/>
      <c r="I94" s="13"/>
      <c r="J94" s="23"/>
      <c r="K94" s="23"/>
      <c r="L94" s="23"/>
      <c r="M94" s="23"/>
      <c r="N94" s="23"/>
      <c r="O94" s="23"/>
      <c r="P94" s="22"/>
      <c r="Q94" s="15"/>
      <c r="R94" s="7"/>
      <c r="T94" s="7"/>
    </row>
    <row r="95" spans="2:20">
      <c r="D95" s="23" t="s">
        <v>12</v>
      </c>
      <c r="E95" s="13">
        <f>294</f>
        <v>294</v>
      </c>
      <c r="F95" s="13">
        <f>274</f>
        <v>274</v>
      </c>
      <c r="G95" s="13">
        <v>270</v>
      </c>
      <c r="H95" s="13">
        <v>274</v>
      </c>
      <c r="I95" s="13">
        <v>270</v>
      </c>
      <c r="J95" s="77">
        <v>276</v>
      </c>
      <c r="K95" s="77">
        <v>286</v>
      </c>
      <c r="L95" s="77">
        <v>283</v>
      </c>
      <c r="M95" s="77">
        <v>282</v>
      </c>
      <c r="N95" s="77">
        <v>283</v>
      </c>
      <c r="O95" s="77">
        <v>294</v>
      </c>
      <c r="P95" s="22">
        <f>O95-N95</f>
        <v>11</v>
      </c>
      <c r="Q95" s="15">
        <f>IF(O95&lt;&gt;0,P95/O95,"           -")</f>
        <v>3.7414965986394558E-2</v>
      </c>
      <c r="R95" s="7"/>
      <c r="T95" s="7"/>
    </row>
    <row r="96" spans="2:20">
      <c r="D96" s="23" t="s">
        <v>13</v>
      </c>
      <c r="E96" s="13">
        <f>49 + 166</f>
        <v>215</v>
      </c>
      <c r="F96" s="13">
        <f>205</f>
        <v>205</v>
      </c>
      <c r="G96" s="13">
        <v>191</v>
      </c>
      <c r="H96" s="13">
        <v>177</v>
      </c>
      <c r="I96" s="13">
        <v>192</v>
      </c>
      <c r="J96" s="23">
        <v>178</v>
      </c>
      <c r="K96" s="23">
        <v>183</v>
      </c>
      <c r="L96" s="23">
        <v>164</v>
      </c>
      <c r="M96" s="23">
        <v>154</v>
      </c>
      <c r="N96" s="23">
        <v>152</v>
      </c>
      <c r="O96" s="23">
        <v>159</v>
      </c>
      <c r="P96" s="22">
        <f>O96-N96</f>
        <v>7</v>
      </c>
      <c r="Q96" s="15">
        <f>IF(O96&lt;&gt;0,P96/O96,"           -")</f>
        <v>4.40251572327044E-2</v>
      </c>
      <c r="R96" s="7"/>
      <c r="T96" s="7"/>
    </row>
    <row r="97" spans="1:20">
      <c r="D97" s="23"/>
      <c r="E97" s="13"/>
      <c r="F97" s="13"/>
      <c r="G97" s="13"/>
      <c r="H97" s="13"/>
      <c r="I97" s="13"/>
      <c r="J97" s="23"/>
      <c r="K97" s="23"/>
      <c r="L97" s="23"/>
      <c r="M97" s="23"/>
      <c r="N97" s="23"/>
      <c r="O97" s="23"/>
      <c r="P97" s="22"/>
      <c r="Q97" s="15"/>
      <c r="R97" s="7"/>
      <c r="T97" s="7"/>
    </row>
    <row r="98" spans="1:20">
      <c r="D98" s="23" t="s">
        <v>14</v>
      </c>
      <c r="E98" s="13">
        <f>343</f>
        <v>343</v>
      </c>
      <c r="F98" s="13">
        <f>325</f>
        <v>325</v>
      </c>
      <c r="G98" s="13">
        <v>310</v>
      </c>
      <c r="H98" s="13">
        <v>303</v>
      </c>
      <c r="I98" s="13">
        <v>300</v>
      </c>
      <c r="J98" s="77">
        <v>305</v>
      </c>
      <c r="K98" s="77">
        <v>319</v>
      </c>
      <c r="L98" s="77">
        <v>317</v>
      </c>
      <c r="M98" s="77">
        <v>308</v>
      </c>
      <c r="N98" s="77">
        <v>300</v>
      </c>
      <c r="O98" s="77">
        <v>308</v>
      </c>
      <c r="P98" s="22">
        <f t="shared" ref="P98:P99" si="19">O98-N98</f>
        <v>8</v>
      </c>
      <c r="Q98" s="15">
        <f>IF(O98&lt;&gt;0,P98/O98,"           -")</f>
        <v>2.5974025974025976E-2</v>
      </c>
      <c r="R98" s="7"/>
      <c r="T98" s="7"/>
    </row>
    <row r="99" spans="1:20">
      <c r="D99" s="23" t="s">
        <v>15</v>
      </c>
      <c r="E99" s="13">
        <f>166</f>
        <v>166</v>
      </c>
      <c r="F99" s="13">
        <f>154</f>
        <v>154</v>
      </c>
      <c r="G99" s="13">
        <v>151</v>
      </c>
      <c r="H99" s="13">
        <v>148</v>
      </c>
      <c r="I99" s="13">
        <v>162</v>
      </c>
      <c r="J99" s="23">
        <v>149</v>
      </c>
      <c r="K99" s="23">
        <v>150</v>
      </c>
      <c r="L99" s="23">
        <v>130</v>
      </c>
      <c r="M99" s="23">
        <v>128</v>
      </c>
      <c r="N99" s="23">
        <v>135</v>
      </c>
      <c r="O99" s="23">
        <v>145</v>
      </c>
      <c r="P99" s="22">
        <f t="shared" si="19"/>
        <v>10</v>
      </c>
      <c r="Q99" s="15">
        <f>IF(O99&lt;&gt;0,P99/O99,"           -")</f>
        <v>6.8965517241379309E-2</v>
      </c>
      <c r="R99" s="7"/>
      <c r="T99" s="7"/>
    </row>
    <row r="100" spans="1:20">
      <c r="E100" s="13"/>
      <c r="H100" s="13"/>
      <c r="I100" s="13"/>
      <c r="J100" s="13"/>
      <c r="K100" s="7"/>
      <c r="L100" s="7"/>
      <c r="M100" s="7"/>
      <c r="N100" s="7"/>
      <c r="O100" s="22"/>
      <c r="P100" s="15"/>
      <c r="Q100" s="7"/>
      <c r="R100" s="7"/>
    </row>
    <row r="101" spans="1:20" ht="15.75">
      <c r="C101" s="16" t="s">
        <v>16</v>
      </c>
      <c r="E101" s="13"/>
      <c r="H101" s="13"/>
      <c r="I101" s="13"/>
      <c r="J101" s="13"/>
      <c r="K101" s="7"/>
      <c r="L101" s="7"/>
      <c r="M101" s="7"/>
      <c r="N101" s="7"/>
      <c r="O101" s="22"/>
      <c r="P101" s="15"/>
      <c r="Q101" s="7"/>
      <c r="R101" s="7"/>
    </row>
    <row r="102" spans="1:20" ht="15.75">
      <c r="C102" s="16"/>
      <c r="D102" s="17" t="s">
        <v>45</v>
      </c>
      <c r="E102" s="19" t="s">
        <v>2</v>
      </c>
      <c r="F102" s="19" t="s">
        <v>3</v>
      </c>
      <c r="G102" s="19" t="s">
        <v>4</v>
      </c>
      <c r="H102" s="19" t="s">
        <v>5</v>
      </c>
      <c r="I102" s="19" t="s">
        <v>46</v>
      </c>
      <c r="J102" s="18" t="s">
        <v>47</v>
      </c>
      <c r="K102" s="18" t="s">
        <v>42</v>
      </c>
      <c r="L102" s="18" t="s">
        <v>43</v>
      </c>
      <c r="M102" s="18" t="s">
        <v>44</v>
      </c>
      <c r="N102" s="18" t="s">
        <v>54</v>
      </c>
      <c r="O102" s="18" t="s">
        <v>55</v>
      </c>
      <c r="P102" s="20" t="s">
        <v>49</v>
      </c>
      <c r="Q102" s="21" t="s">
        <v>50</v>
      </c>
      <c r="R102" s="7"/>
      <c r="T102" s="7"/>
    </row>
    <row r="103" spans="1:20">
      <c r="D103" s="24" t="s">
        <v>8</v>
      </c>
      <c r="E103" s="13">
        <v>12</v>
      </c>
      <c r="F103" s="13">
        <v>12</v>
      </c>
      <c r="G103" s="13">
        <v>8</v>
      </c>
      <c r="H103" s="13">
        <v>9</v>
      </c>
      <c r="I103" s="13">
        <v>9</v>
      </c>
      <c r="J103" s="23">
        <v>9</v>
      </c>
      <c r="K103" s="23">
        <v>9</v>
      </c>
      <c r="L103" s="23">
        <v>8</v>
      </c>
      <c r="M103" s="23">
        <v>7</v>
      </c>
      <c r="N103" s="23">
        <v>6</v>
      </c>
      <c r="O103" s="23">
        <v>8</v>
      </c>
      <c r="P103" s="22">
        <f t="shared" ref="P103:P107" si="20">O103-N103</f>
        <v>2</v>
      </c>
      <c r="Q103" s="15">
        <f t="shared" ref="Q103:Q107" si="21">IF(O103&lt;&gt;0,P103/O103,"           -")</f>
        <v>0.25</v>
      </c>
      <c r="R103" s="23"/>
      <c r="T103" s="7"/>
    </row>
    <row r="104" spans="1:20">
      <c r="D104" s="24" t="s">
        <v>9</v>
      </c>
      <c r="E104" s="13">
        <f>93</f>
        <v>93</v>
      </c>
      <c r="F104" s="13">
        <v>89</v>
      </c>
      <c r="G104" s="13">
        <v>87</v>
      </c>
      <c r="H104" s="13">
        <v>89</v>
      </c>
      <c r="I104" s="13">
        <v>83</v>
      </c>
      <c r="J104" s="23">
        <v>83</v>
      </c>
      <c r="K104" s="23">
        <v>89</v>
      </c>
      <c r="L104" s="23">
        <v>84</v>
      </c>
      <c r="M104" s="23">
        <v>91</v>
      </c>
      <c r="N104" s="23">
        <v>93</v>
      </c>
      <c r="O104" s="23">
        <v>93</v>
      </c>
      <c r="P104" s="22">
        <f t="shared" si="20"/>
        <v>0</v>
      </c>
      <c r="Q104" s="15">
        <f t="shared" si="21"/>
        <v>0</v>
      </c>
      <c r="R104" s="23"/>
      <c r="T104" s="7"/>
    </row>
    <row r="105" spans="1:20">
      <c r="D105" s="24" t="s">
        <v>10</v>
      </c>
      <c r="E105" s="13">
        <f>101</f>
        <v>101</v>
      </c>
      <c r="F105" s="13">
        <f>70 + 26</f>
        <v>96</v>
      </c>
      <c r="G105" s="13">
        <f>77 + 22</f>
        <v>99</v>
      </c>
      <c r="H105" s="13">
        <f>76+20</f>
        <v>96</v>
      </c>
      <c r="I105" s="13">
        <v>95</v>
      </c>
      <c r="J105" s="23">
        <v>103</v>
      </c>
      <c r="K105" s="23">
        <v>107</v>
      </c>
      <c r="L105" s="23">
        <v>109</v>
      </c>
      <c r="M105" s="23">
        <v>109</v>
      </c>
      <c r="N105" s="23">
        <v>113</v>
      </c>
      <c r="O105" s="23">
        <v>122</v>
      </c>
      <c r="P105" s="22">
        <f t="shared" si="20"/>
        <v>9</v>
      </c>
      <c r="Q105" s="15">
        <f t="shared" si="21"/>
        <v>7.3770491803278687E-2</v>
      </c>
      <c r="R105" s="23"/>
      <c r="T105" s="7"/>
    </row>
    <row r="106" spans="1:20">
      <c r="A106" s="65"/>
      <c r="D106" s="24" t="s">
        <v>11</v>
      </c>
      <c r="E106" s="13">
        <f>88</f>
        <v>88</v>
      </c>
      <c r="F106" s="13">
        <f>77</f>
        <v>77</v>
      </c>
      <c r="G106" s="13">
        <v>76</v>
      </c>
      <c r="H106" s="13">
        <v>80</v>
      </c>
      <c r="I106" s="13">
        <v>83</v>
      </c>
      <c r="J106" s="23">
        <v>81</v>
      </c>
      <c r="K106" s="23">
        <v>81</v>
      </c>
      <c r="L106" s="23">
        <v>82</v>
      </c>
      <c r="M106" s="23">
        <v>75</v>
      </c>
      <c r="N106" s="23">
        <v>71</v>
      </c>
      <c r="O106" s="23">
        <v>71</v>
      </c>
      <c r="P106" s="22">
        <f t="shared" si="20"/>
        <v>0</v>
      </c>
      <c r="Q106" s="15">
        <f t="shared" si="21"/>
        <v>0</v>
      </c>
      <c r="R106" s="23"/>
      <c r="T106" s="7"/>
    </row>
    <row r="107" spans="1:20">
      <c r="D107" s="24" t="s">
        <v>7</v>
      </c>
      <c r="E107" s="13">
        <f t="shared" ref="E107:H107" si="22">SUM(E103:E106)</f>
        <v>294</v>
      </c>
      <c r="F107" s="13">
        <f t="shared" si="22"/>
        <v>274</v>
      </c>
      <c r="G107" s="13">
        <f t="shared" si="22"/>
        <v>270</v>
      </c>
      <c r="H107" s="13">
        <f t="shared" si="22"/>
        <v>274</v>
      </c>
      <c r="I107" s="13">
        <v>270</v>
      </c>
      <c r="J107" s="13">
        <v>276</v>
      </c>
      <c r="K107" s="13">
        <v>286</v>
      </c>
      <c r="L107" s="13">
        <v>283</v>
      </c>
      <c r="M107" s="13">
        <v>282</v>
      </c>
      <c r="N107" s="13">
        <v>283</v>
      </c>
      <c r="O107" s="13">
        <f>SUBTOTAL(109,O103:O106)</f>
        <v>294</v>
      </c>
      <c r="P107" s="22">
        <f t="shared" si="20"/>
        <v>11</v>
      </c>
      <c r="Q107" s="15">
        <f t="shared" si="21"/>
        <v>3.7414965986394558E-2</v>
      </c>
      <c r="R107" s="23"/>
      <c r="T107" s="7"/>
    </row>
    <row r="108" spans="1:20">
      <c r="D108" s="2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22"/>
      <c r="P108" s="15"/>
      <c r="Q108" s="23"/>
      <c r="R108" s="7"/>
    </row>
    <row r="109" spans="1:20">
      <c r="E109" s="13"/>
      <c r="I109" s="13"/>
      <c r="J109" s="13"/>
      <c r="K109" s="7"/>
      <c r="L109" s="7"/>
      <c r="M109" s="7"/>
      <c r="N109" s="7"/>
      <c r="O109" s="22"/>
      <c r="P109" s="15"/>
      <c r="Q109" s="23"/>
      <c r="R109" s="7"/>
    </row>
    <row r="110" spans="1:20" ht="18.75">
      <c r="B110" s="12" t="s">
        <v>51</v>
      </c>
      <c r="E110" s="13"/>
      <c r="I110" s="13"/>
      <c r="J110" s="13"/>
      <c r="K110" s="7"/>
      <c r="L110" s="7"/>
      <c r="M110" s="7"/>
      <c r="N110" s="7"/>
      <c r="O110" s="22"/>
      <c r="P110" s="15"/>
      <c r="Q110" s="23"/>
      <c r="R110" s="7"/>
    </row>
    <row r="111" spans="1:20">
      <c r="E111" s="13"/>
      <c r="I111" s="13"/>
      <c r="J111" s="13"/>
      <c r="K111" s="7"/>
      <c r="L111" s="7"/>
      <c r="M111" s="7"/>
      <c r="N111" s="7"/>
      <c r="O111" s="22"/>
      <c r="P111" s="15"/>
      <c r="Q111" s="23"/>
      <c r="R111" s="7"/>
    </row>
    <row r="112" spans="1:20" ht="18.75">
      <c r="C112" s="16" t="s">
        <v>52</v>
      </c>
      <c r="E112" s="13"/>
      <c r="I112" s="13"/>
      <c r="J112" s="13"/>
      <c r="K112" s="7"/>
      <c r="L112" s="7"/>
      <c r="M112" s="7"/>
      <c r="N112" s="7"/>
      <c r="O112" s="22"/>
      <c r="P112" s="15"/>
      <c r="Q112" s="23"/>
      <c r="R112" s="7"/>
    </row>
    <row r="113" spans="3:20" ht="15.75">
      <c r="C113" s="16"/>
      <c r="D113" s="17" t="s">
        <v>45</v>
      </c>
      <c r="E113" s="19" t="s">
        <v>2</v>
      </c>
      <c r="F113" s="19" t="s">
        <v>3</v>
      </c>
      <c r="G113" s="19" t="s">
        <v>4</v>
      </c>
      <c r="H113" s="19" t="s">
        <v>5</v>
      </c>
      <c r="I113" s="19" t="s">
        <v>46</v>
      </c>
      <c r="J113" s="18" t="s">
        <v>47</v>
      </c>
      <c r="K113" s="18" t="s">
        <v>42</v>
      </c>
      <c r="L113" s="18" t="s">
        <v>43</v>
      </c>
      <c r="M113" s="18" t="s">
        <v>44</v>
      </c>
      <c r="N113" s="18" t="s">
        <v>54</v>
      </c>
      <c r="O113" s="18" t="s">
        <v>55</v>
      </c>
      <c r="P113" s="20" t="s">
        <v>49</v>
      </c>
      <c r="Q113" s="21" t="s">
        <v>50</v>
      </c>
      <c r="R113" s="23"/>
      <c r="T113" s="7"/>
    </row>
    <row r="114" spans="3:20">
      <c r="D114" s="23" t="s">
        <v>8</v>
      </c>
      <c r="E114" s="25">
        <f>11.95</f>
        <v>11.95</v>
      </c>
      <c r="F114" s="25">
        <v>11.95</v>
      </c>
      <c r="G114" s="25">
        <v>7.95</v>
      </c>
      <c r="H114" s="25">
        <v>8</v>
      </c>
      <c r="I114" s="25">
        <v>8</v>
      </c>
      <c r="J114" s="45">
        <v>8</v>
      </c>
      <c r="K114" s="45">
        <v>8</v>
      </c>
      <c r="L114" s="45">
        <v>7</v>
      </c>
      <c r="M114" s="45">
        <v>6</v>
      </c>
      <c r="N114" s="45">
        <v>5</v>
      </c>
      <c r="O114" s="45">
        <v>7</v>
      </c>
      <c r="P114" s="22">
        <f t="shared" ref="P114:P118" si="23">O114-N114</f>
        <v>2</v>
      </c>
      <c r="Q114" s="15">
        <f t="shared" ref="Q114:Q118" si="24">IF(O114&lt;&gt;0,P114/O114,"           -")</f>
        <v>0.2857142857142857</v>
      </c>
      <c r="R114" s="23"/>
      <c r="T114" s="7"/>
    </row>
    <row r="115" spans="3:20">
      <c r="D115" s="23" t="s">
        <v>9</v>
      </c>
      <c r="E115" s="25">
        <f>150.35 + 0.4</f>
        <v>150.75</v>
      </c>
      <c r="F115" s="25">
        <f>141.41</f>
        <v>141.41</v>
      </c>
      <c r="G115" s="25">
        <v>134.76</v>
      </c>
      <c r="H115" s="25">
        <v>135</v>
      </c>
      <c r="I115" s="25">
        <v>142</v>
      </c>
      <c r="J115" s="45">
        <v>138</v>
      </c>
      <c r="K115" s="45">
        <v>146</v>
      </c>
      <c r="L115" s="45">
        <v>137</v>
      </c>
      <c r="M115" s="45">
        <v>141</v>
      </c>
      <c r="N115" s="45">
        <v>142</v>
      </c>
      <c r="O115" s="45">
        <v>143</v>
      </c>
      <c r="P115" s="22">
        <f t="shared" si="23"/>
        <v>1</v>
      </c>
      <c r="Q115" s="15">
        <f t="shared" si="24"/>
        <v>6.993006993006993E-3</v>
      </c>
      <c r="R115" s="23"/>
      <c r="T115" s="7"/>
    </row>
    <row r="116" spans="3:20">
      <c r="D116" s="23" t="s">
        <v>10</v>
      </c>
      <c r="E116" s="25">
        <f>64.45 + 1 + 26.2</f>
        <v>91.65</v>
      </c>
      <c r="F116" s="25">
        <f>59.34+0.15+24.85+0.03</f>
        <v>84.37</v>
      </c>
      <c r="G116" s="25">
        <f>64.23 +0.25 + 18.4</f>
        <v>82.88</v>
      </c>
      <c r="H116" s="25">
        <v>76</v>
      </c>
      <c r="I116" s="25">
        <v>74</v>
      </c>
      <c r="J116" s="45">
        <v>81</v>
      </c>
      <c r="K116" s="45">
        <v>85</v>
      </c>
      <c r="L116" s="45">
        <v>87</v>
      </c>
      <c r="M116" s="45">
        <v>83</v>
      </c>
      <c r="N116" s="45">
        <v>85</v>
      </c>
      <c r="O116" s="45">
        <v>98</v>
      </c>
      <c r="P116" s="22">
        <f t="shared" si="23"/>
        <v>13</v>
      </c>
      <c r="Q116" s="15">
        <f t="shared" si="24"/>
        <v>0.1326530612244898</v>
      </c>
      <c r="R116" s="23"/>
      <c r="T116" s="7"/>
    </row>
    <row r="117" spans="3:20">
      <c r="D117" s="23" t="s">
        <v>11</v>
      </c>
      <c r="E117" s="25">
        <f>93.37 + 0.1</f>
        <v>93.47</v>
      </c>
      <c r="F117" s="25">
        <f>85.7 + 0.1</f>
        <v>85.8</v>
      </c>
      <c r="G117" s="25">
        <f>82.3+0.1</f>
        <v>82.399999999999991</v>
      </c>
      <c r="H117" s="25">
        <v>84</v>
      </c>
      <c r="I117" s="25">
        <v>86</v>
      </c>
      <c r="J117" s="45">
        <v>83</v>
      </c>
      <c r="K117" s="45">
        <v>83</v>
      </c>
      <c r="L117" s="45">
        <v>85</v>
      </c>
      <c r="M117" s="45">
        <v>77</v>
      </c>
      <c r="N117" s="45">
        <v>70</v>
      </c>
      <c r="O117" s="45">
        <v>73</v>
      </c>
      <c r="P117" s="22">
        <f t="shared" si="23"/>
        <v>3</v>
      </c>
      <c r="Q117" s="15">
        <f t="shared" si="24"/>
        <v>4.1095890410958902E-2</v>
      </c>
      <c r="R117" s="23"/>
      <c r="T117" s="7"/>
    </row>
    <row r="118" spans="3:20">
      <c r="D118" s="23" t="s">
        <v>7</v>
      </c>
      <c r="E118" s="13">
        <f t="shared" ref="E118:H118" si="25">SUM(E114:E117)</f>
        <v>347.82</v>
      </c>
      <c r="F118" s="13">
        <f t="shared" si="25"/>
        <v>323.52999999999997</v>
      </c>
      <c r="G118" s="13">
        <f t="shared" si="25"/>
        <v>307.98999999999995</v>
      </c>
      <c r="H118" s="13">
        <f t="shared" si="25"/>
        <v>303</v>
      </c>
      <c r="I118" s="13">
        <v>310</v>
      </c>
      <c r="J118" s="13">
        <v>310</v>
      </c>
      <c r="K118" s="13">
        <v>322</v>
      </c>
      <c r="L118" s="13">
        <v>316</v>
      </c>
      <c r="M118" s="13">
        <v>307</v>
      </c>
      <c r="N118" s="13">
        <v>302</v>
      </c>
      <c r="O118" s="13">
        <f>SUBTOTAL(109,O114:O117)</f>
        <v>321</v>
      </c>
      <c r="P118" s="22">
        <f t="shared" si="23"/>
        <v>19</v>
      </c>
      <c r="Q118" s="15">
        <f t="shared" si="24"/>
        <v>5.9190031152647975E-2</v>
      </c>
      <c r="R118" s="23"/>
      <c r="T118" s="7"/>
    </row>
    <row r="119" spans="3:20">
      <c r="E119" s="13"/>
      <c r="F119" s="27"/>
      <c r="G119" s="27"/>
      <c r="H119" s="27"/>
      <c r="I119" s="25"/>
      <c r="J119" s="25"/>
      <c r="K119" s="28"/>
      <c r="L119" s="28"/>
      <c r="M119" s="28"/>
      <c r="N119" s="28"/>
      <c r="O119" s="22"/>
      <c r="P119" s="15"/>
      <c r="Q119" s="23"/>
      <c r="R119" s="7"/>
    </row>
    <row r="120" spans="3:20" ht="18.75">
      <c r="C120" s="16" t="s">
        <v>53</v>
      </c>
      <c r="E120" s="13"/>
      <c r="F120" s="27"/>
      <c r="G120" s="27"/>
      <c r="H120" s="27"/>
      <c r="I120" s="25"/>
      <c r="J120" s="25"/>
      <c r="K120" s="28"/>
      <c r="L120" s="28"/>
      <c r="M120" s="28"/>
      <c r="N120" s="28"/>
      <c r="O120" s="22"/>
      <c r="P120" s="15"/>
      <c r="Q120" s="23"/>
      <c r="R120" s="7"/>
    </row>
    <row r="121" spans="3:20" ht="15.75">
      <c r="C121" s="16"/>
      <c r="D121" s="17" t="s">
        <v>45</v>
      </c>
      <c r="E121" s="19" t="s">
        <v>2</v>
      </c>
      <c r="F121" s="19" t="s">
        <v>3</v>
      </c>
      <c r="G121" s="19" t="s">
        <v>4</v>
      </c>
      <c r="H121" s="19" t="s">
        <v>5</v>
      </c>
      <c r="I121" s="19" t="s">
        <v>46</v>
      </c>
      <c r="J121" s="18" t="s">
        <v>47</v>
      </c>
      <c r="K121" s="18" t="s">
        <v>42</v>
      </c>
      <c r="L121" s="18" t="s">
        <v>43</v>
      </c>
      <c r="M121" s="18" t="s">
        <v>44</v>
      </c>
      <c r="N121" s="18" t="s">
        <v>54</v>
      </c>
      <c r="O121" s="18" t="s">
        <v>55</v>
      </c>
      <c r="P121" s="20" t="s">
        <v>49</v>
      </c>
      <c r="Q121" s="21" t="s">
        <v>50</v>
      </c>
      <c r="R121" s="23"/>
      <c r="T121" s="7"/>
    </row>
    <row r="122" spans="3:20">
      <c r="D122" s="23" t="s">
        <v>8</v>
      </c>
      <c r="E122" s="25">
        <f t="shared" ref="E122:G125" si="26">E130-E114</f>
        <v>1</v>
      </c>
      <c r="F122" s="25">
        <f t="shared" si="26"/>
        <v>1</v>
      </c>
      <c r="G122" s="25">
        <f t="shared" si="26"/>
        <v>0.99999999999999911</v>
      </c>
      <c r="H122" s="25">
        <v>1</v>
      </c>
      <c r="I122" s="25">
        <v>1</v>
      </c>
      <c r="J122" s="46">
        <v>1</v>
      </c>
      <c r="K122" s="46">
        <v>1</v>
      </c>
      <c r="L122" s="46">
        <v>1</v>
      </c>
      <c r="M122" s="46">
        <v>1</v>
      </c>
      <c r="N122" s="46">
        <v>1</v>
      </c>
      <c r="O122" s="46">
        <v>1</v>
      </c>
      <c r="P122" s="22">
        <f t="shared" ref="P122:P126" si="27">O122-N122</f>
        <v>0</v>
      </c>
      <c r="Q122" s="15">
        <f t="shared" ref="Q122:Q126" si="28">IF(O122&lt;&gt;0,P122/O122,"           -")</f>
        <v>0</v>
      </c>
      <c r="R122" s="23"/>
      <c r="T122" s="7"/>
    </row>
    <row r="123" spans="3:20">
      <c r="D123" s="23" t="s">
        <v>9</v>
      </c>
      <c r="E123" s="25">
        <f t="shared" si="26"/>
        <v>0</v>
      </c>
      <c r="F123" s="25">
        <f t="shared" si="26"/>
        <v>0</v>
      </c>
      <c r="G123" s="25">
        <f t="shared" si="26"/>
        <v>0</v>
      </c>
      <c r="H123" s="25">
        <v>0</v>
      </c>
      <c r="I123" s="25">
        <v>1</v>
      </c>
      <c r="J123" s="46">
        <v>1</v>
      </c>
      <c r="K123" s="46">
        <v>2</v>
      </c>
      <c r="L123" s="46">
        <v>1</v>
      </c>
      <c r="M123" s="46">
        <v>1</v>
      </c>
      <c r="N123" s="46">
        <v>2</v>
      </c>
      <c r="O123" s="46">
        <v>2</v>
      </c>
      <c r="P123" s="22">
        <f t="shared" si="27"/>
        <v>0</v>
      </c>
      <c r="Q123" s="15">
        <f t="shared" si="28"/>
        <v>0</v>
      </c>
      <c r="R123" s="23"/>
      <c r="T123" s="7"/>
    </row>
    <row r="124" spans="3:20">
      <c r="D124" s="23" t="s">
        <v>10</v>
      </c>
      <c r="E124" s="25">
        <f t="shared" si="26"/>
        <v>22</v>
      </c>
      <c r="F124" s="25">
        <f t="shared" si="26"/>
        <v>23.179999999999993</v>
      </c>
      <c r="G124" s="25">
        <f t="shared" si="26"/>
        <v>24</v>
      </c>
      <c r="H124" s="25">
        <v>25</v>
      </c>
      <c r="I124" s="25">
        <v>26</v>
      </c>
      <c r="J124" s="46">
        <v>26</v>
      </c>
      <c r="K124" s="46">
        <v>28</v>
      </c>
      <c r="L124" s="46">
        <v>28</v>
      </c>
      <c r="M124" s="46">
        <v>28</v>
      </c>
      <c r="N124" s="46">
        <v>30</v>
      </c>
      <c r="O124" s="46">
        <v>24</v>
      </c>
      <c r="P124" s="22">
        <f t="shared" si="27"/>
        <v>-6</v>
      </c>
      <c r="Q124" s="15">
        <f t="shared" si="28"/>
        <v>-0.25</v>
      </c>
      <c r="R124" s="23"/>
      <c r="T124" s="7"/>
    </row>
    <row r="125" spans="3:20">
      <c r="D125" s="23" t="s">
        <v>11</v>
      </c>
      <c r="E125" s="25">
        <f t="shared" si="26"/>
        <v>7.4500000000000028</v>
      </c>
      <c r="F125" s="25">
        <f t="shared" si="26"/>
        <v>7.4500000000000028</v>
      </c>
      <c r="G125" s="25">
        <f t="shared" si="26"/>
        <v>5.5400000000000063</v>
      </c>
      <c r="H125" s="25">
        <v>6</v>
      </c>
      <c r="I125" s="25">
        <v>7</v>
      </c>
      <c r="J125" s="46">
        <v>6</v>
      </c>
      <c r="K125" s="46">
        <v>5</v>
      </c>
      <c r="L125" s="46">
        <v>3</v>
      </c>
      <c r="M125" s="46">
        <v>5</v>
      </c>
      <c r="N125" s="46">
        <v>5</v>
      </c>
      <c r="O125" s="46">
        <v>5</v>
      </c>
      <c r="P125" s="22">
        <f t="shared" si="27"/>
        <v>0</v>
      </c>
      <c r="Q125" s="15">
        <f t="shared" si="28"/>
        <v>0</v>
      </c>
      <c r="R125" s="23"/>
      <c r="T125" s="7"/>
    </row>
    <row r="126" spans="3:20">
      <c r="D126" s="23" t="s">
        <v>7</v>
      </c>
      <c r="E126" s="25">
        <f t="shared" ref="E126:H126" si="29">SUM(E122:E125)</f>
        <v>30.450000000000003</v>
      </c>
      <c r="F126" s="25">
        <f t="shared" si="29"/>
        <v>31.629999999999995</v>
      </c>
      <c r="G126" s="25">
        <f t="shared" si="29"/>
        <v>30.540000000000006</v>
      </c>
      <c r="H126" s="25">
        <f t="shared" si="29"/>
        <v>32</v>
      </c>
      <c r="I126" s="25">
        <v>35</v>
      </c>
      <c r="J126" s="25">
        <v>34</v>
      </c>
      <c r="K126" s="25">
        <v>36</v>
      </c>
      <c r="L126" s="25">
        <v>33</v>
      </c>
      <c r="M126" s="25">
        <v>35</v>
      </c>
      <c r="N126" s="25">
        <v>38</v>
      </c>
      <c r="O126" s="25">
        <f>SUBTOTAL(109,O122:O125)</f>
        <v>32</v>
      </c>
      <c r="P126" s="22">
        <f t="shared" si="27"/>
        <v>-6</v>
      </c>
      <c r="Q126" s="15">
        <f t="shared" si="28"/>
        <v>-0.1875</v>
      </c>
      <c r="R126" s="23"/>
      <c r="T126" s="7"/>
    </row>
    <row r="127" spans="3:20">
      <c r="E127" s="13"/>
      <c r="F127" s="27"/>
      <c r="G127" s="27"/>
      <c r="H127" s="27"/>
      <c r="I127" s="25"/>
      <c r="J127" s="25"/>
      <c r="K127" s="7"/>
      <c r="L127" s="7"/>
      <c r="M127" s="7"/>
      <c r="N127" s="7"/>
      <c r="O127" s="22"/>
      <c r="P127" s="15"/>
      <c r="Q127" s="23"/>
      <c r="R127" s="7"/>
    </row>
    <row r="128" spans="3:20" ht="15.75">
      <c r="C128" s="16" t="s">
        <v>17</v>
      </c>
      <c r="E128" s="13"/>
      <c r="F128" s="27"/>
      <c r="G128" s="27"/>
      <c r="H128" s="27"/>
      <c r="I128" s="25"/>
      <c r="J128" s="25"/>
      <c r="K128" s="7"/>
      <c r="L128" s="7"/>
      <c r="M128" s="7"/>
      <c r="N128" s="7"/>
      <c r="O128" s="22"/>
      <c r="P128" s="15"/>
      <c r="Q128" s="23"/>
      <c r="R128" s="7"/>
    </row>
    <row r="129" spans="2:20" ht="15.75">
      <c r="C129" s="16"/>
      <c r="D129" s="17" t="s">
        <v>45</v>
      </c>
      <c r="E129" s="19" t="s">
        <v>2</v>
      </c>
      <c r="F129" s="19" t="s">
        <v>3</v>
      </c>
      <c r="G129" s="19" t="s">
        <v>4</v>
      </c>
      <c r="H129" s="19" t="s">
        <v>5</v>
      </c>
      <c r="I129" s="19" t="s">
        <v>46</v>
      </c>
      <c r="J129" s="18" t="s">
        <v>47</v>
      </c>
      <c r="K129" s="18" t="s">
        <v>42</v>
      </c>
      <c r="L129" s="18" t="s">
        <v>43</v>
      </c>
      <c r="M129" s="18" t="s">
        <v>44</v>
      </c>
      <c r="N129" s="18" t="s">
        <v>54</v>
      </c>
      <c r="O129" s="18" t="s">
        <v>55</v>
      </c>
      <c r="P129" s="20" t="s">
        <v>49</v>
      </c>
      <c r="Q129" s="21" t="s">
        <v>50</v>
      </c>
      <c r="R129" s="23"/>
      <c r="T129" s="7"/>
    </row>
    <row r="130" spans="2:20">
      <c r="D130" s="23" t="s">
        <v>8</v>
      </c>
      <c r="E130" s="25">
        <f>12.95</f>
        <v>12.95</v>
      </c>
      <c r="F130" s="25">
        <v>12.95</v>
      </c>
      <c r="G130" s="25">
        <v>8.9499999999999993</v>
      </c>
      <c r="H130" s="25">
        <f>H122+H114</f>
        <v>9</v>
      </c>
      <c r="I130" s="25">
        <v>9</v>
      </c>
      <c r="J130" s="25">
        <v>9</v>
      </c>
      <c r="K130" s="25">
        <v>9</v>
      </c>
      <c r="L130" s="25">
        <v>8</v>
      </c>
      <c r="M130" s="25">
        <v>7</v>
      </c>
      <c r="N130" s="25">
        <v>6</v>
      </c>
      <c r="O130" s="25">
        <v>8</v>
      </c>
      <c r="P130" s="22">
        <f t="shared" ref="P130:P134" si="30">O130-N130</f>
        <v>2</v>
      </c>
      <c r="Q130" s="15">
        <f t="shared" ref="Q130:Q134" si="31">IF(O130&lt;&gt;0,P130/O130,"           -")</f>
        <v>0.25</v>
      </c>
      <c r="R130" s="23"/>
      <c r="T130" s="7"/>
    </row>
    <row r="131" spans="2:20">
      <c r="D131" s="23" t="s">
        <v>9</v>
      </c>
      <c r="E131" s="25">
        <f>150.75</f>
        <v>150.75</v>
      </c>
      <c r="F131" s="25">
        <f>141.41</f>
        <v>141.41</v>
      </c>
      <c r="G131" s="25">
        <v>134.76</v>
      </c>
      <c r="H131" s="25">
        <f>H123+H115</f>
        <v>135</v>
      </c>
      <c r="I131" s="25">
        <v>143</v>
      </c>
      <c r="J131" s="25">
        <v>139</v>
      </c>
      <c r="K131" s="25">
        <v>148</v>
      </c>
      <c r="L131" s="25">
        <v>138</v>
      </c>
      <c r="M131" s="25">
        <v>142</v>
      </c>
      <c r="N131" s="25">
        <v>144</v>
      </c>
      <c r="O131" s="25">
        <v>145</v>
      </c>
      <c r="P131" s="22">
        <f t="shared" si="30"/>
        <v>1</v>
      </c>
      <c r="Q131" s="15">
        <f t="shared" si="31"/>
        <v>6.8965517241379309E-3</v>
      </c>
      <c r="S131" s="10"/>
      <c r="T131" s="7"/>
    </row>
    <row r="132" spans="2:20">
      <c r="D132" s="23" t="s">
        <v>10</v>
      </c>
      <c r="E132" s="25">
        <f>83.65 + 30</f>
        <v>113.65</v>
      </c>
      <c r="F132" s="25">
        <f>79.14 + 28.41</f>
        <v>107.55</v>
      </c>
      <c r="G132" s="25">
        <f>84.48 + 22.4</f>
        <v>106.88</v>
      </c>
      <c r="H132" s="25">
        <f>H124+H116</f>
        <v>101</v>
      </c>
      <c r="I132" s="25">
        <v>100</v>
      </c>
      <c r="J132" s="25">
        <v>107</v>
      </c>
      <c r="K132" s="25">
        <v>113</v>
      </c>
      <c r="L132" s="25">
        <v>115</v>
      </c>
      <c r="M132" s="25">
        <v>111</v>
      </c>
      <c r="N132" s="25">
        <v>115</v>
      </c>
      <c r="O132" s="25">
        <v>122</v>
      </c>
      <c r="P132" s="22">
        <f t="shared" si="30"/>
        <v>7</v>
      </c>
      <c r="Q132" s="15">
        <f t="shared" si="31"/>
        <v>5.737704918032787E-2</v>
      </c>
      <c r="S132" s="66"/>
      <c r="T132" s="7"/>
    </row>
    <row r="133" spans="2:20">
      <c r="D133" s="23" t="s">
        <v>11</v>
      </c>
      <c r="E133" s="25">
        <f>100.92</f>
        <v>100.92</v>
      </c>
      <c r="F133" s="25">
        <f>93.25</f>
        <v>93.25</v>
      </c>
      <c r="G133" s="25">
        <f>87.94</f>
        <v>87.94</v>
      </c>
      <c r="H133" s="25">
        <f>H125+H117</f>
        <v>90</v>
      </c>
      <c r="I133" s="25">
        <v>93</v>
      </c>
      <c r="J133" s="25">
        <v>89</v>
      </c>
      <c r="K133" s="25">
        <v>88</v>
      </c>
      <c r="L133" s="25">
        <v>88</v>
      </c>
      <c r="M133" s="25">
        <v>82</v>
      </c>
      <c r="N133" s="25">
        <v>75</v>
      </c>
      <c r="O133" s="25">
        <v>78</v>
      </c>
      <c r="P133" s="22">
        <f t="shared" si="30"/>
        <v>3</v>
      </c>
      <c r="Q133" s="15">
        <f t="shared" si="31"/>
        <v>3.8461538461538464E-2</v>
      </c>
      <c r="S133" s="10"/>
      <c r="T133" s="7"/>
    </row>
    <row r="134" spans="2:20">
      <c r="D134" s="23" t="s">
        <v>7</v>
      </c>
      <c r="E134" s="13">
        <f t="shared" ref="E134:H134" si="32">SUM(E130:E133)</f>
        <v>378.27000000000004</v>
      </c>
      <c r="F134" s="13">
        <f t="shared" si="32"/>
        <v>355.15999999999997</v>
      </c>
      <c r="G134" s="13">
        <f t="shared" si="32"/>
        <v>338.53</v>
      </c>
      <c r="H134" s="13">
        <f t="shared" si="32"/>
        <v>335</v>
      </c>
      <c r="I134" s="13">
        <v>345</v>
      </c>
      <c r="J134" s="13">
        <v>344</v>
      </c>
      <c r="K134" s="13">
        <v>358</v>
      </c>
      <c r="L134" s="13">
        <v>349</v>
      </c>
      <c r="M134" s="13">
        <v>342</v>
      </c>
      <c r="N134" s="13">
        <v>340</v>
      </c>
      <c r="O134" s="13">
        <f>SUBTOTAL(109,O130:O133)</f>
        <v>353</v>
      </c>
      <c r="P134" s="22">
        <f t="shared" si="30"/>
        <v>13</v>
      </c>
      <c r="Q134" s="15">
        <f t="shared" si="31"/>
        <v>3.6827195467422094E-2</v>
      </c>
      <c r="S134" s="10"/>
      <c r="T134" s="7"/>
    </row>
    <row r="135" spans="2:20"/>
    <row r="136" spans="2:20">
      <c r="B136" s="7" t="str">
        <f>"_________________________"</f>
        <v>_________________________</v>
      </c>
    </row>
    <row r="137" spans="2:20" ht="18">
      <c r="C137" s="67">
        <v>1</v>
      </c>
      <c r="D137" s="7" t="s">
        <v>18</v>
      </c>
    </row>
    <row r="138" spans="2:20" ht="18">
      <c r="C138" s="67">
        <v>2</v>
      </c>
      <c r="D138" s="7" t="s">
        <v>19</v>
      </c>
    </row>
    <row r="139" spans="2:20" ht="18">
      <c r="C139" s="67"/>
      <c r="D139" s="7" t="s">
        <v>20</v>
      </c>
    </row>
    <row r="140" spans="2:20" ht="18">
      <c r="C140" s="67">
        <v>3</v>
      </c>
      <c r="D140" s="7" t="s">
        <v>21</v>
      </c>
    </row>
    <row r="141" spans="2:20">
      <c r="D141" s="7" t="s">
        <v>22</v>
      </c>
    </row>
    <row r="142" spans="2:20">
      <c r="D142" s="7" t="s">
        <v>23</v>
      </c>
    </row>
    <row r="143" spans="2:20" ht="18">
      <c r="C143" s="67">
        <v>4</v>
      </c>
      <c r="D143" s="7" t="s">
        <v>24</v>
      </c>
    </row>
    <row r="144" spans="2:20" ht="18">
      <c r="C144" s="67"/>
    </row>
    <row r="145" spans="2:18" ht="18">
      <c r="C145" s="67"/>
    </row>
    <row r="146" spans="2:18" ht="18">
      <c r="C146" s="67"/>
    </row>
    <row r="147" spans="2:18" ht="18">
      <c r="C147" s="67"/>
    </row>
    <row r="148" spans="2:18" ht="18">
      <c r="C148" s="67"/>
    </row>
    <row r="149" spans="2:18" ht="18">
      <c r="B149" s="7" t="s">
        <v>25</v>
      </c>
      <c r="C149" s="67"/>
    </row>
    <row r="150" spans="2:18">
      <c r="B150" s="7" t="str">
        <f>B75</f>
        <v>November 13, 2023</v>
      </c>
    </row>
    <row r="151" spans="2:18" ht="15.75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8"/>
      <c r="R151" s="8"/>
    </row>
    <row r="152" spans="2:18" ht="15.75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8"/>
      <c r="R152" s="8"/>
    </row>
    <row r="153" spans="2:18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2:18"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2:18" ht="15.75">
      <c r="C155" s="8"/>
      <c r="D155" s="8"/>
      <c r="E155" s="8"/>
      <c r="F155" s="8"/>
      <c r="G155" s="8"/>
      <c r="H155" s="8"/>
      <c r="I155" s="40"/>
      <c r="J155" s="9" t="s">
        <v>26</v>
      </c>
      <c r="K155" s="8"/>
      <c r="L155" s="8"/>
      <c r="M155" s="8"/>
      <c r="N155" s="8"/>
      <c r="O155" s="8"/>
      <c r="P155" s="8"/>
      <c r="Q155" s="7"/>
      <c r="R155" s="7"/>
    </row>
    <row r="156" spans="2:18" ht="15.75">
      <c r="C156" s="8"/>
      <c r="D156" s="8"/>
      <c r="E156" s="8"/>
      <c r="F156" s="8"/>
      <c r="G156" s="8"/>
      <c r="H156" s="8"/>
      <c r="I156" s="40"/>
      <c r="J156" s="9" t="s">
        <v>28</v>
      </c>
      <c r="K156" s="8"/>
      <c r="L156" s="8"/>
      <c r="M156" s="8"/>
      <c r="N156" s="8"/>
      <c r="O156" s="8"/>
      <c r="P156" s="8"/>
      <c r="Q156" s="7"/>
      <c r="R156" s="7"/>
    </row>
    <row r="157" spans="2:18">
      <c r="O157" s="38"/>
      <c r="P157" s="38"/>
      <c r="Q157" s="7"/>
      <c r="R157" s="7"/>
    </row>
    <row r="158" spans="2:18">
      <c r="M158" s="11"/>
      <c r="O158" s="14"/>
      <c r="P158" s="14"/>
      <c r="Q158" s="7"/>
      <c r="R158" s="7"/>
    </row>
    <row r="159" spans="2:18" ht="18.75">
      <c r="B159" s="12" t="s">
        <v>48</v>
      </c>
      <c r="E159" s="13"/>
      <c r="H159" s="13"/>
      <c r="I159" s="13"/>
      <c r="J159" s="13"/>
      <c r="K159" s="7"/>
      <c r="L159" s="7"/>
      <c r="M159" s="7"/>
      <c r="N159" s="7"/>
      <c r="O159" s="14"/>
      <c r="P159" s="15"/>
      <c r="Q159" s="7"/>
      <c r="R159" s="7"/>
    </row>
    <row r="160" spans="2:18">
      <c r="E160" s="13"/>
      <c r="H160" s="13"/>
      <c r="I160" s="13"/>
      <c r="J160" s="13"/>
      <c r="K160" s="7"/>
      <c r="L160" s="7"/>
      <c r="M160" s="7"/>
      <c r="N160" s="7"/>
      <c r="O160" s="14"/>
      <c r="P160" s="15"/>
      <c r="Q160" s="7"/>
      <c r="R160" s="7"/>
    </row>
    <row r="161" spans="3:20" ht="15.75">
      <c r="C161" s="16" t="s">
        <v>6</v>
      </c>
      <c r="E161" s="13"/>
      <c r="H161" s="13"/>
      <c r="I161" s="13"/>
      <c r="J161" s="13"/>
      <c r="K161" s="7"/>
      <c r="L161" s="7"/>
      <c r="M161" s="7"/>
      <c r="N161" s="7"/>
      <c r="O161" s="14"/>
      <c r="P161" s="15"/>
      <c r="Q161" s="7"/>
      <c r="R161" s="7"/>
    </row>
    <row r="162" spans="3:20" ht="15.75">
      <c r="C162" s="16"/>
      <c r="D162" s="17" t="s">
        <v>45</v>
      </c>
      <c r="E162" s="19" t="s">
        <v>2</v>
      </c>
      <c r="F162" s="19" t="s">
        <v>3</v>
      </c>
      <c r="G162" s="19" t="s">
        <v>4</v>
      </c>
      <c r="H162" s="19" t="s">
        <v>5</v>
      </c>
      <c r="I162" s="19" t="s">
        <v>46</v>
      </c>
      <c r="J162" s="18" t="s">
        <v>47</v>
      </c>
      <c r="K162" s="18" t="s">
        <v>42</v>
      </c>
      <c r="L162" s="18" t="s">
        <v>43</v>
      </c>
      <c r="M162" s="18" t="s">
        <v>44</v>
      </c>
      <c r="N162" s="18" t="s">
        <v>54</v>
      </c>
      <c r="O162" s="18" t="s">
        <v>55</v>
      </c>
      <c r="P162" s="20" t="s">
        <v>49</v>
      </c>
      <c r="Q162" s="21" t="s">
        <v>50</v>
      </c>
      <c r="R162" s="7"/>
      <c r="T162" s="7"/>
    </row>
    <row r="163" spans="3:20">
      <c r="D163" s="23" t="s">
        <v>7</v>
      </c>
      <c r="E163" s="13">
        <v>387</v>
      </c>
      <c r="F163" s="13">
        <v>372</v>
      </c>
      <c r="G163" s="13">
        <v>352</v>
      </c>
      <c r="H163" s="13">
        <v>326</v>
      </c>
      <c r="I163" s="13">
        <v>373</v>
      </c>
      <c r="J163" s="13">
        <v>369</v>
      </c>
      <c r="K163" s="13">
        <v>373</v>
      </c>
      <c r="L163" s="13">
        <v>360</v>
      </c>
      <c r="M163" s="13">
        <v>353</v>
      </c>
      <c r="N163" s="13">
        <v>333</v>
      </c>
      <c r="O163" s="13">
        <v>306</v>
      </c>
      <c r="P163" s="22">
        <f>O163-N163</f>
        <v>-27</v>
      </c>
      <c r="Q163" s="15">
        <f>IF(O163&lt;&gt;0,P163/O163,"           -")</f>
        <v>-8.8235294117647065E-2</v>
      </c>
      <c r="R163" s="7"/>
      <c r="T163" s="7"/>
    </row>
    <row r="164" spans="3:20">
      <c r="D164" s="23"/>
      <c r="E164" s="13"/>
      <c r="F164" s="13"/>
      <c r="G164" s="13"/>
      <c r="H164" s="13"/>
      <c r="I164" s="13"/>
      <c r="J164" s="23"/>
      <c r="K164" s="23"/>
      <c r="L164" s="23"/>
      <c r="M164" s="23"/>
      <c r="N164" s="23"/>
      <c r="O164" s="23"/>
      <c r="P164" s="22"/>
      <c r="Q164" s="15"/>
      <c r="R164" s="7"/>
      <c r="T164" s="7"/>
    </row>
    <row r="165" spans="3:20">
      <c r="D165" s="23" t="s">
        <v>8</v>
      </c>
      <c r="E165" s="13">
        <v>14</v>
      </c>
      <c r="F165" s="13">
        <v>11</v>
      </c>
      <c r="G165" s="13">
        <v>8</v>
      </c>
      <c r="H165" s="13">
        <v>8</v>
      </c>
      <c r="I165" s="13">
        <v>9</v>
      </c>
      <c r="J165" s="23">
        <v>9</v>
      </c>
      <c r="K165" s="23">
        <v>8</v>
      </c>
      <c r="L165" s="23">
        <v>9</v>
      </c>
      <c r="M165" s="23">
        <v>7</v>
      </c>
      <c r="N165" s="23">
        <v>5</v>
      </c>
      <c r="O165" s="23">
        <v>5</v>
      </c>
      <c r="P165" s="22">
        <f>O165-N165</f>
        <v>0</v>
      </c>
      <c r="Q165" s="15">
        <f>IF(O165&lt;&gt;0,P165/O165,"           -")</f>
        <v>0</v>
      </c>
      <c r="R165" s="7"/>
      <c r="T165" s="7"/>
    </row>
    <row r="166" spans="3:20">
      <c r="D166" s="23" t="s">
        <v>9</v>
      </c>
      <c r="E166" s="13">
        <v>175</v>
      </c>
      <c r="F166" s="13">
        <v>169</v>
      </c>
      <c r="G166" s="13">
        <v>164</v>
      </c>
      <c r="H166" s="13">
        <v>134</v>
      </c>
      <c r="I166" s="13">
        <v>176</v>
      </c>
      <c r="J166" s="23">
        <v>172</v>
      </c>
      <c r="K166" s="23">
        <v>176</v>
      </c>
      <c r="L166" s="23">
        <v>170</v>
      </c>
      <c r="M166" s="23">
        <v>164</v>
      </c>
      <c r="N166" s="23">
        <v>146</v>
      </c>
      <c r="O166" s="23">
        <v>117</v>
      </c>
      <c r="P166" s="22">
        <f t="shared" ref="P166:P174" si="33">O166-N166</f>
        <v>-29</v>
      </c>
      <c r="Q166" s="15">
        <f t="shared" ref="Q166:Q174" si="34">IF(O166&lt;&gt;0,P166/O166,"           -")</f>
        <v>-0.24786324786324787</v>
      </c>
      <c r="R166" s="7"/>
      <c r="T166" s="7"/>
    </row>
    <row r="167" spans="3:20">
      <c r="D167" s="23" t="s">
        <v>29</v>
      </c>
      <c r="E167" s="13">
        <f>79 + 9</f>
        <v>88</v>
      </c>
      <c r="F167" s="13">
        <f>80 + 9</f>
        <v>89</v>
      </c>
      <c r="G167" s="13">
        <f>80+6</f>
        <v>86</v>
      </c>
      <c r="H167" s="13">
        <f>82+7</f>
        <v>89</v>
      </c>
      <c r="I167" s="13">
        <v>93</v>
      </c>
      <c r="J167" s="23">
        <v>91</v>
      </c>
      <c r="K167" s="23">
        <v>92</v>
      </c>
      <c r="L167" s="23">
        <v>90</v>
      </c>
      <c r="M167" s="23">
        <v>95</v>
      </c>
      <c r="N167" s="23">
        <v>91</v>
      </c>
      <c r="O167" s="23">
        <v>96</v>
      </c>
      <c r="P167" s="22">
        <f t="shared" si="33"/>
        <v>5</v>
      </c>
      <c r="Q167" s="15">
        <f t="shared" si="34"/>
        <v>5.2083333333333336E-2</v>
      </c>
      <c r="R167" s="7"/>
      <c r="T167" s="7"/>
    </row>
    <row r="168" spans="3:20">
      <c r="D168" s="23" t="s">
        <v>11</v>
      </c>
      <c r="E168" s="13">
        <f>110</f>
        <v>110</v>
      </c>
      <c r="F168" s="13">
        <f>103</f>
        <v>103</v>
      </c>
      <c r="G168" s="13">
        <v>94</v>
      </c>
      <c r="H168" s="13">
        <v>95</v>
      </c>
      <c r="I168" s="13">
        <v>95</v>
      </c>
      <c r="J168" s="23">
        <v>97</v>
      </c>
      <c r="K168" s="23">
        <v>97</v>
      </c>
      <c r="L168" s="23">
        <v>91</v>
      </c>
      <c r="M168" s="23">
        <v>87</v>
      </c>
      <c r="N168" s="23">
        <v>91</v>
      </c>
      <c r="O168" s="23">
        <v>88</v>
      </c>
      <c r="P168" s="22">
        <f t="shared" si="33"/>
        <v>-3</v>
      </c>
      <c r="Q168" s="15">
        <f t="shared" si="34"/>
        <v>-3.4090909090909088E-2</v>
      </c>
      <c r="R168" s="7"/>
      <c r="T168" s="7"/>
    </row>
    <row r="169" spans="3:20">
      <c r="D169" s="23"/>
      <c r="E169" s="13"/>
      <c r="F169" s="13"/>
      <c r="G169" s="13"/>
      <c r="H169" s="13"/>
      <c r="I169" s="13"/>
      <c r="J169" s="23"/>
      <c r="K169" s="23"/>
      <c r="L169" s="23"/>
      <c r="M169" s="23"/>
      <c r="N169" s="23"/>
      <c r="O169" s="23"/>
      <c r="P169" s="22"/>
      <c r="Q169" s="15"/>
      <c r="R169" s="7"/>
      <c r="T169" s="7"/>
    </row>
    <row r="170" spans="3:20">
      <c r="D170" s="23" t="s">
        <v>12</v>
      </c>
      <c r="E170" s="13">
        <f>309</f>
        <v>309</v>
      </c>
      <c r="F170" s="13">
        <f>299</f>
        <v>299</v>
      </c>
      <c r="G170" s="13">
        <v>287</v>
      </c>
      <c r="H170" s="13">
        <v>295</v>
      </c>
      <c r="I170" s="13">
        <v>291</v>
      </c>
      <c r="J170" s="77">
        <v>295</v>
      </c>
      <c r="K170" s="77">
        <v>298</v>
      </c>
      <c r="L170" s="77">
        <v>291</v>
      </c>
      <c r="M170" s="77">
        <v>282</v>
      </c>
      <c r="N170" s="77">
        <v>270</v>
      </c>
      <c r="O170" s="77">
        <v>259</v>
      </c>
      <c r="P170" s="22">
        <f t="shared" si="33"/>
        <v>-11</v>
      </c>
      <c r="Q170" s="15">
        <f t="shared" si="34"/>
        <v>-4.2471042471042469E-2</v>
      </c>
      <c r="R170" s="7"/>
      <c r="T170" s="7"/>
    </row>
    <row r="171" spans="3:20">
      <c r="D171" s="23" t="s">
        <v>13</v>
      </c>
      <c r="E171" s="13">
        <f>33 + 45</f>
        <v>78</v>
      </c>
      <c r="F171" s="13">
        <f>73</f>
        <v>73</v>
      </c>
      <c r="G171" s="13">
        <v>65</v>
      </c>
      <c r="H171" s="13">
        <v>31</v>
      </c>
      <c r="I171" s="13">
        <v>82</v>
      </c>
      <c r="J171" s="23">
        <v>74</v>
      </c>
      <c r="K171" s="23">
        <v>75</v>
      </c>
      <c r="L171" s="23">
        <v>69</v>
      </c>
      <c r="M171" s="23">
        <v>71</v>
      </c>
      <c r="N171" s="23">
        <v>63</v>
      </c>
      <c r="O171" s="23">
        <v>47</v>
      </c>
      <c r="P171" s="22">
        <f t="shared" si="33"/>
        <v>-16</v>
      </c>
      <c r="Q171" s="15">
        <f t="shared" si="34"/>
        <v>-0.34042553191489361</v>
      </c>
      <c r="R171" s="7"/>
      <c r="T171" s="7"/>
    </row>
    <row r="172" spans="3:20">
      <c r="D172" s="23"/>
      <c r="E172" s="13"/>
      <c r="F172" s="13"/>
      <c r="G172" s="13"/>
      <c r="H172" s="13"/>
      <c r="I172" s="13"/>
      <c r="J172" s="23"/>
      <c r="K172" s="23"/>
      <c r="L172" s="23"/>
      <c r="M172" s="23"/>
      <c r="N172" s="23"/>
      <c r="O172" s="23"/>
      <c r="P172" s="22"/>
      <c r="Q172" s="15"/>
      <c r="R172" s="7"/>
      <c r="T172" s="7"/>
    </row>
    <row r="173" spans="3:20">
      <c r="D173" s="23" t="s">
        <v>14</v>
      </c>
      <c r="E173" s="13">
        <f>342</f>
        <v>342</v>
      </c>
      <c r="F173" s="13">
        <f>329</f>
        <v>329</v>
      </c>
      <c r="G173" s="13">
        <v>310</v>
      </c>
      <c r="H173" s="13">
        <v>316</v>
      </c>
      <c r="I173" s="13">
        <v>319</v>
      </c>
      <c r="J173" s="77">
        <v>319</v>
      </c>
      <c r="K173" s="77">
        <v>319</v>
      </c>
      <c r="L173" s="77">
        <v>313</v>
      </c>
      <c r="M173" s="77">
        <v>302</v>
      </c>
      <c r="N173" s="77">
        <v>288</v>
      </c>
      <c r="O173" s="77">
        <v>276</v>
      </c>
      <c r="P173" s="22">
        <f t="shared" si="33"/>
        <v>-12</v>
      </c>
      <c r="Q173" s="15">
        <f t="shared" si="34"/>
        <v>-4.3478260869565216E-2</v>
      </c>
      <c r="R173" s="7"/>
      <c r="T173" s="7"/>
    </row>
    <row r="174" spans="3:20">
      <c r="D174" s="23" t="s">
        <v>15</v>
      </c>
      <c r="E174" s="13">
        <f>45</f>
        <v>45</v>
      </c>
      <c r="F174" s="13">
        <f>43</f>
        <v>43</v>
      </c>
      <c r="G174" s="13">
        <v>42</v>
      </c>
      <c r="H174" s="13">
        <v>10</v>
      </c>
      <c r="I174" s="13">
        <v>54</v>
      </c>
      <c r="J174" s="23">
        <v>50</v>
      </c>
      <c r="K174" s="23">
        <v>54</v>
      </c>
      <c r="L174" s="23">
        <v>47</v>
      </c>
      <c r="M174" s="23">
        <v>51</v>
      </c>
      <c r="N174" s="23">
        <v>45</v>
      </c>
      <c r="O174" s="23">
        <v>30</v>
      </c>
      <c r="P174" s="22">
        <f t="shared" si="33"/>
        <v>-15</v>
      </c>
      <c r="Q174" s="15">
        <f t="shared" si="34"/>
        <v>-0.5</v>
      </c>
      <c r="R174" s="7"/>
      <c r="T174" s="7"/>
    </row>
    <row r="175" spans="3:20">
      <c r="D175" s="23"/>
      <c r="E175" s="13"/>
      <c r="F175" s="13"/>
      <c r="G175" s="13"/>
      <c r="H175" s="13"/>
      <c r="I175" s="13"/>
      <c r="J175" s="13"/>
      <c r="K175" s="23"/>
      <c r="L175" s="23"/>
      <c r="M175" s="23"/>
      <c r="N175" s="23"/>
      <c r="O175" s="22"/>
      <c r="P175" s="15"/>
      <c r="Q175" s="7"/>
      <c r="R175" s="7"/>
    </row>
    <row r="176" spans="3:20" ht="15.75">
      <c r="C176" s="16" t="s">
        <v>16</v>
      </c>
      <c r="D176" s="23"/>
      <c r="E176" s="13"/>
      <c r="F176" s="13"/>
      <c r="G176" s="13"/>
      <c r="H176" s="13"/>
      <c r="I176" s="13"/>
      <c r="J176" s="13"/>
      <c r="K176" s="23"/>
      <c r="L176" s="23"/>
      <c r="M176" s="23"/>
      <c r="N176" s="23"/>
      <c r="O176" s="22"/>
      <c r="P176" s="15"/>
      <c r="Q176" s="7"/>
      <c r="R176" s="7"/>
    </row>
    <row r="177" spans="1:20" ht="15.75">
      <c r="C177" s="16"/>
      <c r="D177" s="17" t="s">
        <v>45</v>
      </c>
      <c r="E177" s="19" t="s">
        <v>2</v>
      </c>
      <c r="F177" s="19" t="s">
        <v>3</v>
      </c>
      <c r="G177" s="19" t="s">
        <v>4</v>
      </c>
      <c r="H177" s="19" t="s">
        <v>5</v>
      </c>
      <c r="I177" s="19" t="s">
        <v>46</v>
      </c>
      <c r="J177" s="18" t="s">
        <v>47</v>
      </c>
      <c r="K177" s="18" t="s">
        <v>42</v>
      </c>
      <c r="L177" s="18" t="s">
        <v>43</v>
      </c>
      <c r="M177" s="18" t="s">
        <v>44</v>
      </c>
      <c r="N177" s="18" t="s">
        <v>54</v>
      </c>
      <c r="O177" s="18" t="s">
        <v>55</v>
      </c>
      <c r="P177" s="20" t="s">
        <v>49</v>
      </c>
      <c r="Q177" s="21" t="s">
        <v>50</v>
      </c>
      <c r="R177" s="7"/>
      <c r="T177" s="7"/>
    </row>
    <row r="178" spans="1:20">
      <c r="D178" s="24" t="s">
        <v>8</v>
      </c>
      <c r="E178" s="13">
        <f>14</f>
        <v>14</v>
      </c>
      <c r="F178" s="13">
        <f>11</f>
        <v>11</v>
      </c>
      <c r="G178" s="13">
        <v>8</v>
      </c>
      <c r="H178" s="13">
        <v>8</v>
      </c>
      <c r="I178" s="13">
        <v>9</v>
      </c>
      <c r="J178" s="23">
        <v>8</v>
      </c>
      <c r="K178" s="23">
        <v>8</v>
      </c>
      <c r="L178" s="23">
        <v>9</v>
      </c>
      <c r="M178" s="23">
        <v>7</v>
      </c>
      <c r="N178" s="23">
        <v>5</v>
      </c>
      <c r="O178" s="23">
        <v>5</v>
      </c>
      <c r="P178" s="22">
        <f t="shared" ref="P178:P182" si="35">O178-N178</f>
        <v>0</v>
      </c>
      <c r="Q178" s="15">
        <f t="shared" ref="Q178:Q182" si="36">IF(O178&lt;&gt;0,P178/O178,"           -")</f>
        <v>0</v>
      </c>
      <c r="R178" s="23"/>
      <c r="T178" s="7"/>
    </row>
    <row r="179" spans="1:20">
      <c r="D179" s="24" t="s">
        <v>9</v>
      </c>
      <c r="E179" s="13">
        <f>119</f>
        <v>119</v>
      </c>
      <c r="F179" s="13">
        <f>117</f>
        <v>117</v>
      </c>
      <c r="G179" s="13">
        <v>114</v>
      </c>
      <c r="H179" s="13">
        <v>117</v>
      </c>
      <c r="I179" s="13">
        <v>112</v>
      </c>
      <c r="J179" s="23">
        <v>114</v>
      </c>
      <c r="K179" s="23">
        <v>113</v>
      </c>
      <c r="L179" s="23">
        <v>112</v>
      </c>
      <c r="M179" s="23">
        <v>106</v>
      </c>
      <c r="N179" s="23">
        <v>97</v>
      </c>
      <c r="O179" s="23">
        <v>84</v>
      </c>
      <c r="P179" s="22">
        <f t="shared" si="35"/>
        <v>-13</v>
      </c>
      <c r="Q179" s="15">
        <f t="shared" si="36"/>
        <v>-0.15476190476190477</v>
      </c>
      <c r="R179" s="23"/>
      <c r="T179" s="7"/>
    </row>
    <row r="180" spans="1:20">
      <c r="D180" s="24" t="s">
        <v>10</v>
      </c>
      <c r="E180" s="13">
        <f>71 + 8</f>
        <v>79</v>
      </c>
      <c r="F180" s="13">
        <f>73 + 8</f>
        <v>81</v>
      </c>
      <c r="G180" s="13">
        <f>75+5</f>
        <v>80</v>
      </c>
      <c r="H180" s="13">
        <f>78+6</f>
        <v>84</v>
      </c>
      <c r="I180" s="13">
        <v>85</v>
      </c>
      <c r="J180" s="23">
        <v>85</v>
      </c>
      <c r="K180" s="23">
        <v>89</v>
      </c>
      <c r="L180" s="23">
        <v>87</v>
      </c>
      <c r="M180" s="23">
        <v>89</v>
      </c>
      <c r="N180" s="23">
        <v>84</v>
      </c>
      <c r="O180" s="23">
        <v>89</v>
      </c>
      <c r="P180" s="22">
        <f t="shared" si="35"/>
        <v>5</v>
      </c>
      <c r="Q180" s="15">
        <f t="shared" si="36"/>
        <v>5.6179775280898875E-2</v>
      </c>
      <c r="R180" s="23"/>
      <c r="T180" s="7"/>
    </row>
    <row r="181" spans="1:20">
      <c r="A181" s="65"/>
      <c r="D181" s="24" t="s">
        <v>11</v>
      </c>
      <c r="E181" s="13">
        <f>97</f>
        <v>97</v>
      </c>
      <c r="F181" s="13">
        <f>90</f>
        <v>90</v>
      </c>
      <c r="G181" s="13">
        <v>85</v>
      </c>
      <c r="H181" s="13">
        <v>86</v>
      </c>
      <c r="I181" s="13">
        <v>85</v>
      </c>
      <c r="J181" s="23">
        <v>88</v>
      </c>
      <c r="K181" s="23">
        <v>88</v>
      </c>
      <c r="L181" s="23">
        <v>83</v>
      </c>
      <c r="M181" s="23">
        <v>80</v>
      </c>
      <c r="N181" s="23">
        <v>84</v>
      </c>
      <c r="O181" s="23">
        <v>81</v>
      </c>
      <c r="P181" s="22">
        <f t="shared" si="35"/>
        <v>-3</v>
      </c>
      <c r="Q181" s="15">
        <f t="shared" si="36"/>
        <v>-3.7037037037037035E-2</v>
      </c>
      <c r="R181" s="23"/>
      <c r="T181" s="7"/>
    </row>
    <row r="182" spans="1:20">
      <c r="D182" s="24" t="s">
        <v>7</v>
      </c>
      <c r="E182" s="13">
        <f t="shared" ref="E182:H182" si="37">SUM(E178:E181)</f>
        <v>309</v>
      </c>
      <c r="F182" s="13">
        <f t="shared" si="37"/>
        <v>299</v>
      </c>
      <c r="G182" s="13">
        <f t="shared" si="37"/>
        <v>287</v>
      </c>
      <c r="H182" s="13">
        <f t="shared" si="37"/>
        <v>295</v>
      </c>
      <c r="I182" s="13">
        <v>291</v>
      </c>
      <c r="J182" s="13">
        <v>295</v>
      </c>
      <c r="K182" s="13">
        <v>298</v>
      </c>
      <c r="L182" s="13">
        <v>291</v>
      </c>
      <c r="M182" s="13">
        <v>282</v>
      </c>
      <c r="N182" s="13">
        <v>270</v>
      </c>
      <c r="O182" s="13">
        <f>SUBTOTAL(109,O178:O181)</f>
        <v>259</v>
      </c>
      <c r="P182" s="22">
        <f t="shared" si="35"/>
        <v>-11</v>
      </c>
      <c r="Q182" s="15">
        <f t="shared" si="36"/>
        <v>-4.2471042471042469E-2</v>
      </c>
      <c r="R182" s="23"/>
      <c r="T182" s="7"/>
    </row>
    <row r="183" spans="1:20">
      <c r="D183" s="24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22"/>
      <c r="P183" s="15"/>
      <c r="Q183" s="23"/>
      <c r="R183" s="7"/>
    </row>
    <row r="184" spans="1:20">
      <c r="E184" s="13"/>
      <c r="I184" s="13"/>
      <c r="J184" s="13"/>
      <c r="K184" s="7"/>
      <c r="L184" s="7"/>
      <c r="M184" s="7"/>
      <c r="N184" s="7"/>
      <c r="O184" s="22"/>
      <c r="P184" s="15"/>
      <c r="Q184" s="23"/>
      <c r="R184" s="7"/>
    </row>
    <row r="185" spans="1:20" ht="18.75">
      <c r="B185" s="12" t="s">
        <v>51</v>
      </c>
      <c r="E185" s="13"/>
      <c r="I185" s="13"/>
      <c r="J185" s="13"/>
      <c r="K185" s="7"/>
      <c r="L185" s="7"/>
      <c r="M185" s="7"/>
      <c r="N185" s="7"/>
      <c r="O185" s="22"/>
      <c r="P185" s="15"/>
      <c r="Q185" s="23"/>
      <c r="R185" s="7"/>
    </row>
    <row r="186" spans="1:20">
      <c r="E186" s="13"/>
      <c r="I186" s="13"/>
      <c r="J186" s="13"/>
      <c r="K186" s="7"/>
      <c r="L186" s="7"/>
      <c r="M186" s="7"/>
      <c r="N186" s="7"/>
      <c r="O186" s="22"/>
      <c r="P186" s="15"/>
      <c r="Q186" s="23"/>
      <c r="R186" s="7"/>
    </row>
    <row r="187" spans="1:20" ht="18.75">
      <c r="C187" s="16" t="s">
        <v>52</v>
      </c>
      <c r="E187" s="13"/>
      <c r="I187" s="13"/>
      <c r="J187" s="13"/>
      <c r="K187" s="7"/>
      <c r="L187" s="7"/>
      <c r="M187" s="7"/>
      <c r="N187" s="7"/>
      <c r="O187" s="22"/>
      <c r="P187" s="15"/>
      <c r="Q187" s="23"/>
      <c r="R187" s="7"/>
    </row>
    <row r="188" spans="1:20" ht="15.75">
      <c r="C188" s="16"/>
      <c r="D188" s="17" t="s">
        <v>45</v>
      </c>
      <c r="E188" s="19" t="s">
        <v>2</v>
      </c>
      <c r="F188" s="19" t="s">
        <v>3</v>
      </c>
      <c r="G188" s="19" t="s">
        <v>4</v>
      </c>
      <c r="H188" s="19" t="s">
        <v>5</v>
      </c>
      <c r="I188" s="19" t="s">
        <v>46</v>
      </c>
      <c r="J188" s="18" t="s">
        <v>47</v>
      </c>
      <c r="K188" s="18" t="s">
        <v>42</v>
      </c>
      <c r="L188" s="18" t="s">
        <v>43</v>
      </c>
      <c r="M188" s="18" t="s">
        <v>44</v>
      </c>
      <c r="N188" s="18" t="s">
        <v>54</v>
      </c>
      <c r="O188" s="18" t="s">
        <v>55</v>
      </c>
      <c r="P188" s="20" t="s">
        <v>49</v>
      </c>
      <c r="Q188" s="21" t="s">
        <v>50</v>
      </c>
      <c r="R188" s="23"/>
      <c r="T188" s="7"/>
    </row>
    <row r="189" spans="1:20">
      <c r="D189" s="23" t="s">
        <v>8</v>
      </c>
      <c r="E189" s="25">
        <f>12.97</f>
        <v>12.97</v>
      </c>
      <c r="F189" s="25">
        <f>9.97</f>
        <v>9.9700000000000006</v>
      </c>
      <c r="G189" s="25">
        <v>8</v>
      </c>
      <c r="H189" s="25">
        <v>8</v>
      </c>
      <c r="I189" s="25">
        <v>9</v>
      </c>
      <c r="J189" s="26">
        <v>9</v>
      </c>
      <c r="K189" s="45">
        <v>9</v>
      </c>
      <c r="L189" s="45">
        <v>9</v>
      </c>
      <c r="M189" s="45">
        <v>7</v>
      </c>
      <c r="N189" s="56">
        <v>5</v>
      </c>
      <c r="O189" s="56">
        <v>5</v>
      </c>
      <c r="P189" s="22">
        <f t="shared" ref="P189:P193" si="38">O189-N189</f>
        <v>0</v>
      </c>
      <c r="Q189" s="15">
        <f t="shared" ref="Q189:Q193" si="39">IF(O189&lt;&gt;0,P189/O189,"           -")</f>
        <v>0</v>
      </c>
      <c r="R189" s="23"/>
      <c r="T189" s="7"/>
    </row>
    <row r="190" spans="1:20">
      <c r="D190" s="23" t="s">
        <v>9</v>
      </c>
      <c r="E190" s="25">
        <f>137.05</f>
        <v>137.05000000000001</v>
      </c>
      <c r="F190" s="25">
        <f>134.74</f>
        <v>134.74</v>
      </c>
      <c r="G190" s="25">
        <v>132.72</v>
      </c>
      <c r="H190" s="25">
        <v>123</v>
      </c>
      <c r="I190" s="25">
        <v>134</v>
      </c>
      <c r="J190" s="26">
        <v>132</v>
      </c>
      <c r="K190" s="45">
        <v>127</v>
      </c>
      <c r="L190" s="45">
        <v>131</v>
      </c>
      <c r="M190" s="45">
        <v>125</v>
      </c>
      <c r="N190" s="56">
        <v>110</v>
      </c>
      <c r="O190" s="56">
        <v>93</v>
      </c>
      <c r="P190" s="22">
        <f t="shared" si="38"/>
        <v>-17</v>
      </c>
      <c r="Q190" s="15">
        <f t="shared" si="39"/>
        <v>-0.18279569892473119</v>
      </c>
      <c r="R190" s="23"/>
      <c r="T190" s="7"/>
    </row>
    <row r="191" spans="1:20">
      <c r="D191" s="23" t="s">
        <v>10</v>
      </c>
      <c r="E191" s="25">
        <f>58.4 + 7.3</f>
        <v>65.7</v>
      </c>
      <c r="F191" s="25">
        <f>61.05+1+6.8</f>
        <v>68.849999999999994</v>
      </c>
      <c r="G191" s="25">
        <f>63.55+0.5+3.9</f>
        <v>67.95</v>
      </c>
      <c r="H191" s="25">
        <v>72</v>
      </c>
      <c r="I191" s="25">
        <v>76</v>
      </c>
      <c r="J191" s="26">
        <v>75</v>
      </c>
      <c r="K191" s="45">
        <v>72</v>
      </c>
      <c r="L191" s="45">
        <v>72</v>
      </c>
      <c r="M191" s="45">
        <v>73</v>
      </c>
      <c r="N191" s="56">
        <v>70</v>
      </c>
      <c r="O191" s="56">
        <v>78</v>
      </c>
      <c r="P191" s="22">
        <f t="shared" si="38"/>
        <v>8</v>
      </c>
      <c r="Q191" s="15">
        <f t="shared" si="39"/>
        <v>0.10256410256410256</v>
      </c>
      <c r="R191" s="23"/>
      <c r="T191" s="7"/>
    </row>
    <row r="192" spans="1:20">
      <c r="D192" s="23" t="s">
        <v>11</v>
      </c>
      <c r="E192" s="25">
        <f>73.33 + 1</f>
        <v>74.33</v>
      </c>
      <c r="F192" s="25">
        <f>65.95</f>
        <v>65.95</v>
      </c>
      <c r="G192" s="25">
        <v>61.18</v>
      </c>
      <c r="H192" s="25">
        <v>64</v>
      </c>
      <c r="I192" s="25">
        <v>65</v>
      </c>
      <c r="J192" s="26">
        <v>67</v>
      </c>
      <c r="K192" s="45">
        <v>70</v>
      </c>
      <c r="L192" s="45">
        <v>64</v>
      </c>
      <c r="M192" s="45">
        <v>59</v>
      </c>
      <c r="N192" s="56">
        <v>64</v>
      </c>
      <c r="O192" s="56">
        <v>60</v>
      </c>
      <c r="P192" s="22">
        <f t="shared" si="38"/>
        <v>-4</v>
      </c>
      <c r="Q192" s="15">
        <f t="shared" si="39"/>
        <v>-6.6666666666666666E-2</v>
      </c>
      <c r="R192" s="23"/>
      <c r="T192" s="7"/>
    </row>
    <row r="193" spans="3:20">
      <c r="D193" s="23" t="s">
        <v>7</v>
      </c>
      <c r="E193" s="13">
        <f t="shared" ref="E193:H193" si="40">SUM(E189:E192)</f>
        <v>290.05</v>
      </c>
      <c r="F193" s="13">
        <f t="shared" si="40"/>
        <v>279.51</v>
      </c>
      <c r="G193" s="13">
        <f t="shared" si="40"/>
        <v>269.85000000000002</v>
      </c>
      <c r="H193" s="13">
        <f t="shared" si="40"/>
        <v>267</v>
      </c>
      <c r="I193" s="13">
        <v>284</v>
      </c>
      <c r="J193" s="13">
        <v>283</v>
      </c>
      <c r="K193" s="13">
        <v>278</v>
      </c>
      <c r="L193" s="13">
        <v>276</v>
      </c>
      <c r="M193" s="13">
        <v>264</v>
      </c>
      <c r="N193" s="56">
        <v>249</v>
      </c>
      <c r="O193" s="56">
        <f>SUBTOTAL(109,O189:O192)</f>
        <v>236</v>
      </c>
      <c r="P193" s="22">
        <f t="shared" si="38"/>
        <v>-13</v>
      </c>
      <c r="Q193" s="15">
        <f t="shared" si="39"/>
        <v>-5.5084745762711863E-2</v>
      </c>
      <c r="R193" s="23"/>
      <c r="T193" s="7"/>
    </row>
    <row r="194" spans="3:20">
      <c r="D194" s="23"/>
      <c r="E194" s="13"/>
      <c r="F194" s="25"/>
      <c r="G194" s="25"/>
      <c r="H194" s="25"/>
      <c r="I194" s="25"/>
      <c r="J194" s="25"/>
      <c r="K194" s="39"/>
      <c r="L194" s="39"/>
      <c r="M194" s="39"/>
      <c r="N194" s="39"/>
      <c r="O194" s="22"/>
      <c r="P194" s="15"/>
      <c r="Q194" s="23"/>
      <c r="R194" s="7"/>
    </row>
    <row r="195" spans="3:20" ht="18.75">
      <c r="C195" s="16" t="s">
        <v>53</v>
      </c>
      <c r="D195" s="23"/>
      <c r="E195" s="13"/>
      <c r="F195" s="25"/>
      <c r="G195" s="25"/>
      <c r="H195" s="25"/>
      <c r="I195" s="25"/>
      <c r="J195" s="25"/>
      <c r="K195" s="39"/>
      <c r="L195" s="39"/>
      <c r="M195" s="39"/>
      <c r="N195" s="39"/>
      <c r="O195" s="22"/>
      <c r="P195" s="15"/>
      <c r="Q195" s="23"/>
      <c r="R195" s="7"/>
    </row>
    <row r="196" spans="3:20" ht="15.75">
      <c r="C196" s="16"/>
      <c r="D196" s="17" t="s">
        <v>45</v>
      </c>
      <c r="E196" s="19" t="s">
        <v>2</v>
      </c>
      <c r="F196" s="19" t="s">
        <v>3</v>
      </c>
      <c r="G196" s="19" t="s">
        <v>4</v>
      </c>
      <c r="H196" s="19" t="s">
        <v>5</v>
      </c>
      <c r="I196" s="19" t="s">
        <v>46</v>
      </c>
      <c r="J196" s="18" t="s">
        <v>47</v>
      </c>
      <c r="K196" s="18" t="s">
        <v>42</v>
      </c>
      <c r="L196" s="18" t="s">
        <v>43</v>
      </c>
      <c r="M196" s="18" t="s">
        <v>44</v>
      </c>
      <c r="N196" s="18" t="s">
        <v>54</v>
      </c>
      <c r="O196" s="18" t="s">
        <v>55</v>
      </c>
      <c r="P196" s="20" t="s">
        <v>49</v>
      </c>
      <c r="Q196" s="21" t="s">
        <v>50</v>
      </c>
      <c r="R196" s="23"/>
      <c r="T196" s="7"/>
    </row>
    <row r="197" spans="3:20">
      <c r="D197" s="23" t="s">
        <v>8</v>
      </c>
      <c r="E197" s="25">
        <f t="shared" ref="E197:G200" si="41">E205-E189</f>
        <v>1.0299999999999994</v>
      </c>
      <c r="F197" s="25">
        <f t="shared" si="41"/>
        <v>1.0299999999999994</v>
      </c>
      <c r="G197" s="25">
        <f t="shared" si="41"/>
        <v>0</v>
      </c>
      <c r="H197" s="25">
        <v>0</v>
      </c>
      <c r="I197" s="25">
        <v>0</v>
      </c>
      <c r="J197" s="29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22">
        <f t="shared" ref="P197:P201" si="42">O197-N197</f>
        <v>0</v>
      </c>
      <c r="Q197" s="15" t="str">
        <f t="shared" ref="Q197:Q201" si="43">IF(O197&lt;&gt;0,P197/O197,"           -")</f>
        <v xml:space="preserve">           -</v>
      </c>
      <c r="R197" s="23"/>
      <c r="T197" s="7"/>
    </row>
    <row r="198" spans="3:20">
      <c r="D198" s="23" t="s">
        <v>9</v>
      </c>
      <c r="E198" s="25">
        <f t="shared" si="41"/>
        <v>2.9699999999999989</v>
      </c>
      <c r="F198" s="25">
        <f t="shared" si="41"/>
        <v>2.9099999999999966</v>
      </c>
      <c r="G198" s="25">
        <f t="shared" si="41"/>
        <v>2.5699999999999932</v>
      </c>
      <c r="H198" s="25">
        <v>2</v>
      </c>
      <c r="I198" s="25">
        <v>1</v>
      </c>
      <c r="J198" s="29">
        <v>2</v>
      </c>
      <c r="K198" s="46">
        <v>6</v>
      </c>
      <c r="L198" s="46">
        <v>2</v>
      </c>
      <c r="M198" s="46">
        <v>1</v>
      </c>
      <c r="N198" s="46">
        <v>3</v>
      </c>
      <c r="O198" s="46">
        <v>2</v>
      </c>
      <c r="P198" s="22">
        <f t="shared" si="42"/>
        <v>-1</v>
      </c>
      <c r="Q198" s="15">
        <f t="shared" si="43"/>
        <v>-0.5</v>
      </c>
      <c r="R198" s="23"/>
      <c r="T198" s="7"/>
    </row>
    <row r="199" spans="3:20">
      <c r="D199" s="23" t="s">
        <v>10</v>
      </c>
      <c r="E199" s="25">
        <f t="shared" si="41"/>
        <v>19.679999999999993</v>
      </c>
      <c r="F199" s="25">
        <f t="shared" si="41"/>
        <v>16.730000000000004</v>
      </c>
      <c r="G199" s="25">
        <f t="shared" si="41"/>
        <v>15.129999999999995</v>
      </c>
      <c r="H199" s="25">
        <v>15</v>
      </c>
      <c r="I199" s="25">
        <v>14</v>
      </c>
      <c r="J199" s="29">
        <v>14</v>
      </c>
      <c r="K199" s="46">
        <v>18</v>
      </c>
      <c r="L199" s="46">
        <v>17</v>
      </c>
      <c r="M199" s="46">
        <v>19</v>
      </c>
      <c r="N199" s="46">
        <v>19</v>
      </c>
      <c r="O199" s="46">
        <v>15</v>
      </c>
      <c r="P199" s="22">
        <f t="shared" si="42"/>
        <v>-4</v>
      </c>
      <c r="Q199" s="15">
        <f t="shared" si="43"/>
        <v>-0.26666666666666666</v>
      </c>
      <c r="R199" s="23"/>
      <c r="T199" s="7"/>
    </row>
    <row r="200" spans="3:20">
      <c r="D200" s="23" t="s">
        <v>11</v>
      </c>
      <c r="E200" s="25">
        <f t="shared" si="41"/>
        <v>29.58</v>
      </c>
      <c r="F200" s="25">
        <f t="shared" si="41"/>
        <v>30.700000000000003</v>
      </c>
      <c r="G200" s="25">
        <f t="shared" si="41"/>
        <v>28.270000000000003</v>
      </c>
      <c r="H200" s="25">
        <v>26</v>
      </c>
      <c r="I200" s="25">
        <v>26</v>
      </c>
      <c r="J200" s="29">
        <v>27</v>
      </c>
      <c r="K200" s="46">
        <v>24</v>
      </c>
      <c r="L200" s="46">
        <v>24</v>
      </c>
      <c r="M200" s="46">
        <v>25</v>
      </c>
      <c r="N200" s="46">
        <v>24</v>
      </c>
      <c r="O200" s="46">
        <v>24</v>
      </c>
      <c r="P200" s="22">
        <f t="shared" si="42"/>
        <v>0</v>
      </c>
      <c r="Q200" s="15">
        <f t="shared" si="43"/>
        <v>0</v>
      </c>
      <c r="R200" s="23"/>
      <c r="T200" s="7"/>
    </row>
    <row r="201" spans="3:20">
      <c r="D201" s="23" t="s">
        <v>7</v>
      </c>
      <c r="E201" s="25">
        <f t="shared" ref="E201:H201" si="44">SUM(E197:E200)</f>
        <v>53.259999999999991</v>
      </c>
      <c r="F201" s="25">
        <f t="shared" si="44"/>
        <v>51.370000000000005</v>
      </c>
      <c r="G201" s="25">
        <f t="shared" si="44"/>
        <v>45.969999999999992</v>
      </c>
      <c r="H201" s="25">
        <f t="shared" si="44"/>
        <v>43</v>
      </c>
      <c r="I201" s="25">
        <v>41</v>
      </c>
      <c r="J201" s="25">
        <v>43</v>
      </c>
      <c r="K201" s="25">
        <v>48</v>
      </c>
      <c r="L201" s="25">
        <v>43</v>
      </c>
      <c r="M201" s="25">
        <v>45</v>
      </c>
      <c r="N201" s="25">
        <v>46</v>
      </c>
      <c r="O201" s="25">
        <f>SUBTOTAL(109,O197:O200)</f>
        <v>41</v>
      </c>
      <c r="P201" s="22">
        <f t="shared" si="42"/>
        <v>-5</v>
      </c>
      <c r="Q201" s="15">
        <f t="shared" si="43"/>
        <v>-0.12195121951219512</v>
      </c>
      <c r="R201" s="23"/>
      <c r="T201" s="7"/>
    </row>
    <row r="202" spans="3:20">
      <c r="D202" s="23"/>
      <c r="E202" s="13"/>
      <c r="F202" s="25"/>
      <c r="G202" s="25"/>
      <c r="H202" s="25"/>
      <c r="I202" s="25"/>
      <c r="J202" s="25"/>
      <c r="K202" s="23"/>
      <c r="L202" s="23"/>
      <c r="M202" s="23"/>
      <c r="N202" s="23"/>
      <c r="O202" s="22"/>
      <c r="P202" s="15"/>
      <c r="Q202" s="23"/>
      <c r="R202" s="7"/>
    </row>
    <row r="203" spans="3:20" ht="15.75">
      <c r="C203" s="16" t="s">
        <v>17</v>
      </c>
      <c r="D203" s="23"/>
      <c r="E203" s="13"/>
      <c r="F203" s="25"/>
      <c r="G203" s="25"/>
      <c r="H203" s="25"/>
      <c r="I203" s="25"/>
      <c r="J203" s="25"/>
      <c r="K203" s="23"/>
      <c r="L203" s="23"/>
      <c r="M203" s="23"/>
      <c r="N203" s="23"/>
      <c r="O203" s="22"/>
      <c r="P203" s="15"/>
      <c r="Q203" s="23"/>
      <c r="R203" s="7"/>
    </row>
    <row r="204" spans="3:20" ht="15.75">
      <c r="C204" s="16"/>
      <c r="D204" s="17" t="s">
        <v>45</v>
      </c>
      <c r="E204" s="19" t="s">
        <v>2</v>
      </c>
      <c r="F204" s="19" t="s">
        <v>3</v>
      </c>
      <c r="G204" s="19" t="s">
        <v>4</v>
      </c>
      <c r="H204" s="19" t="s">
        <v>5</v>
      </c>
      <c r="I204" s="19" t="s">
        <v>46</v>
      </c>
      <c r="J204" s="18" t="s">
        <v>47</v>
      </c>
      <c r="K204" s="18" t="s">
        <v>42</v>
      </c>
      <c r="L204" s="18" t="s">
        <v>43</v>
      </c>
      <c r="M204" s="18" t="s">
        <v>44</v>
      </c>
      <c r="N204" s="18" t="s">
        <v>54</v>
      </c>
      <c r="O204" s="18" t="s">
        <v>55</v>
      </c>
      <c r="P204" s="20" t="s">
        <v>49</v>
      </c>
      <c r="Q204" s="21" t="s">
        <v>50</v>
      </c>
      <c r="R204" s="23"/>
      <c r="T204" s="7"/>
    </row>
    <row r="205" spans="3:20">
      <c r="D205" s="23" t="s">
        <v>8</v>
      </c>
      <c r="E205" s="25">
        <f>14</f>
        <v>14</v>
      </c>
      <c r="F205" s="25">
        <f>SUM(11)</f>
        <v>11</v>
      </c>
      <c r="G205" s="25">
        <v>8</v>
      </c>
      <c r="H205" s="25">
        <f>H197+H189</f>
        <v>8</v>
      </c>
      <c r="I205" s="25">
        <v>9</v>
      </c>
      <c r="J205" s="25">
        <v>9</v>
      </c>
      <c r="K205" s="25">
        <v>9</v>
      </c>
      <c r="L205" s="25">
        <v>9</v>
      </c>
      <c r="M205" s="25">
        <v>7</v>
      </c>
      <c r="N205" s="25">
        <v>5</v>
      </c>
      <c r="O205" s="25">
        <v>5</v>
      </c>
      <c r="P205" s="22">
        <f t="shared" ref="P205:P209" si="45">O205-N205</f>
        <v>0</v>
      </c>
      <c r="Q205" s="15">
        <f t="shared" ref="Q205:Q209" si="46">IF(O205&lt;&gt;0,P205/O205,"           -")</f>
        <v>0</v>
      </c>
      <c r="R205" s="23"/>
      <c r="T205" s="7"/>
    </row>
    <row r="206" spans="3:20">
      <c r="D206" s="23" t="s">
        <v>9</v>
      </c>
      <c r="E206" s="25">
        <f>140.02</f>
        <v>140.02000000000001</v>
      </c>
      <c r="F206" s="25">
        <f>137.65</f>
        <v>137.65</v>
      </c>
      <c r="G206" s="25">
        <v>135.29</v>
      </c>
      <c r="H206" s="25">
        <f>H198+H190</f>
        <v>125</v>
      </c>
      <c r="I206" s="25">
        <v>135</v>
      </c>
      <c r="J206" s="25">
        <v>134</v>
      </c>
      <c r="K206" s="25">
        <v>133</v>
      </c>
      <c r="L206" s="25">
        <v>133</v>
      </c>
      <c r="M206" s="25">
        <v>126</v>
      </c>
      <c r="N206" s="25">
        <v>113</v>
      </c>
      <c r="O206" s="25">
        <v>95</v>
      </c>
      <c r="P206" s="22">
        <f t="shared" si="45"/>
        <v>-18</v>
      </c>
      <c r="Q206" s="15">
        <f t="shared" si="46"/>
        <v>-0.18947368421052632</v>
      </c>
      <c r="S206" s="10"/>
      <c r="T206" s="7"/>
    </row>
    <row r="207" spans="3:20">
      <c r="D207" s="23" t="s">
        <v>10</v>
      </c>
      <c r="E207" s="25">
        <f>75.58 + 9.8</f>
        <v>85.38</v>
      </c>
      <c r="F207" s="25">
        <f>76.78 + 8.8</f>
        <v>85.58</v>
      </c>
      <c r="G207" s="25">
        <f>77.28+5.8</f>
        <v>83.08</v>
      </c>
      <c r="H207" s="25">
        <f>H199+H191</f>
        <v>87</v>
      </c>
      <c r="I207" s="25">
        <v>90</v>
      </c>
      <c r="J207" s="25">
        <v>89</v>
      </c>
      <c r="K207" s="25">
        <v>90</v>
      </c>
      <c r="L207" s="25">
        <v>89</v>
      </c>
      <c r="M207" s="25">
        <v>92</v>
      </c>
      <c r="N207" s="25">
        <v>89</v>
      </c>
      <c r="O207" s="25">
        <v>93</v>
      </c>
      <c r="P207" s="22">
        <f t="shared" si="45"/>
        <v>4</v>
      </c>
      <c r="Q207" s="15">
        <f t="shared" si="46"/>
        <v>4.3010752688172046E-2</v>
      </c>
      <c r="S207" s="10"/>
      <c r="T207" s="7"/>
    </row>
    <row r="208" spans="3:20">
      <c r="D208" s="23" t="s">
        <v>11</v>
      </c>
      <c r="E208" s="25">
        <f>103.91</f>
        <v>103.91</v>
      </c>
      <c r="F208" s="25">
        <f>96.65</f>
        <v>96.65</v>
      </c>
      <c r="G208" s="25">
        <v>89.45</v>
      </c>
      <c r="H208" s="25">
        <f>H200+H192</f>
        <v>90</v>
      </c>
      <c r="I208" s="25">
        <v>91</v>
      </c>
      <c r="J208" s="25">
        <v>94</v>
      </c>
      <c r="K208" s="25">
        <v>94</v>
      </c>
      <c r="L208" s="25">
        <v>88</v>
      </c>
      <c r="M208" s="25">
        <v>84</v>
      </c>
      <c r="N208" s="25">
        <v>88</v>
      </c>
      <c r="O208" s="25">
        <v>84</v>
      </c>
      <c r="P208" s="22">
        <f t="shared" si="45"/>
        <v>-4</v>
      </c>
      <c r="Q208" s="15">
        <f t="shared" si="46"/>
        <v>-4.7619047619047616E-2</v>
      </c>
      <c r="S208" s="10"/>
      <c r="T208" s="7"/>
    </row>
    <row r="209" spans="2:20">
      <c r="D209" s="23" t="s">
        <v>7</v>
      </c>
      <c r="E209" s="13">
        <f t="shared" ref="E209:H209" si="47">SUM(E205:E208)</f>
        <v>343.31</v>
      </c>
      <c r="F209" s="13">
        <f t="shared" si="47"/>
        <v>330.88</v>
      </c>
      <c r="G209" s="13">
        <f t="shared" si="47"/>
        <v>315.82</v>
      </c>
      <c r="H209" s="13">
        <f t="shared" si="47"/>
        <v>310</v>
      </c>
      <c r="I209" s="13">
        <v>325</v>
      </c>
      <c r="J209" s="13">
        <v>326</v>
      </c>
      <c r="K209" s="13">
        <v>326</v>
      </c>
      <c r="L209" s="13">
        <v>319</v>
      </c>
      <c r="M209" s="13">
        <v>309</v>
      </c>
      <c r="N209" s="13">
        <v>295</v>
      </c>
      <c r="O209" s="13">
        <f>SUBTOTAL(109,O205:O208)</f>
        <v>277</v>
      </c>
      <c r="P209" s="22">
        <f t="shared" si="45"/>
        <v>-18</v>
      </c>
      <c r="Q209" s="15">
        <f t="shared" si="46"/>
        <v>-6.4981949458483748E-2</v>
      </c>
      <c r="S209" s="10"/>
      <c r="T209" s="7"/>
    </row>
    <row r="210" spans="2:20"/>
    <row r="211" spans="2:20">
      <c r="B211" s="7" t="str">
        <f>"_________________________"</f>
        <v>_________________________</v>
      </c>
    </row>
    <row r="212" spans="2:20" ht="18">
      <c r="C212" s="67">
        <v>1</v>
      </c>
      <c r="D212" s="7" t="s">
        <v>18</v>
      </c>
    </row>
    <row r="213" spans="2:20" ht="18">
      <c r="C213" s="67">
        <v>2</v>
      </c>
      <c r="D213" s="7" t="s">
        <v>19</v>
      </c>
    </row>
    <row r="214" spans="2:20" ht="18">
      <c r="C214" s="67"/>
      <c r="D214" s="7" t="s">
        <v>20</v>
      </c>
    </row>
    <row r="215" spans="2:20" ht="18">
      <c r="C215" s="67">
        <v>3</v>
      </c>
      <c r="D215" s="7" t="s">
        <v>21</v>
      </c>
    </row>
    <row r="216" spans="2:20">
      <c r="D216" s="7" t="s">
        <v>22</v>
      </c>
    </row>
    <row r="217" spans="2:20">
      <c r="D217" s="7" t="s">
        <v>23</v>
      </c>
    </row>
    <row r="218" spans="2:20" ht="18">
      <c r="C218" s="67">
        <v>4</v>
      </c>
      <c r="D218" s="7" t="s">
        <v>24</v>
      </c>
    </row>
    <row r="219" spans="2:20" ht="18">
      <c r="C219" s="67"/>
    </row>
    <row r="220" spans="2:20" ht="18">
      <c r="C220" s="67"/>
    </row>
    <row r="221" spans="2:20" ht="18">
      <c r="C221" s="67"/>
    </row>
    <row r="222" spans="2:20" ht="18">
      <c r="C222" s="67"/>
    </row>
    <row r="223" spans="2:20" ht="18">
      <c r="C223" s="67"/>
    </row>
    <row r="224" spans="2:20"/>
    <row r="225" spans="2:20">
      <c r="B225" s="7" t="s">
        <v>25</v>
      </c>
    </row>
    <row r="226" spans="2:20">
      <c r="B226" s="7" t="str">
        <f>B75</f>
        <v>November 13, 2023</v>
      </c>
    </row>
    <row r="227" spans="2:20" ht="15.75"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8"/>
      <c r="R227" s="8"/>
    </row>
    <row r="228" spans="2:20" ht="15.75"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8"/>
      <c r="R228" s="8"/>
    </row>
    <row r="229" spans="2:20"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7"/>
      <c r="R229" s="7"/>
    </row>
    <row r="230" spans="2:20"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7"/>
      <c r="R230" s="7"/>
    </row>
    <row r="231" spans="2:20" ht="15.75">
      <c r="C231" s="8"/>
      <c r="D231" s="8"/>
      <c r="E231" s="8"/>
      <c r="F231" s="8"/>
      <c r="G231" s="8"/>
      <c r="H231" s="8"/>
      <c r="I231" s="40"/>
      <c r="J231" s="9" t="s">
        <v>26</v>
      </c>
      <c r="K231" s="8"/>
      <c r="L231" s="8"/>
      <c r="M231" s="8"/>
      <c r="N231" s="8"/>
      <c r="O231" s="8"/>
      <c r="P231" s="8"/>
      <c r="Q231" s="7"/>
      <c r="R231" s="7"/>
    </row>
    <row r="232" spans="2:20" ht="15.75">
      <c r="C232" s="8"/>
      <c r="D232" s="8"/>
      <c r="E232" s="8"/>
      <c r="F232" s="8"/>
      <c r="G232" s="8"/>
      <c r="H232" s="8"/>
      <c r="I232" s="40"/>
      <c r="J232" s="9" t="s">
        <v>30</v>
      </c>
      <c r="K232" s="8"/>
      <c r="L232" s="8"/>
      <c r="M232" s="8"/>
      <c r="N232" s="8"/>
      <c r="O232" s="8"/>
      <c r="P232" s="8"/>
      <c r="Q232" s="7"/>
      <c r="R232" s="7"/>
    </row>
    <row r="233" spans="2:20">
      <c r="H233" s="13"/>
      <c r="I233" s="13"/>
      <c r="J233" s="13"/>
      <c r="K233" s="7"/>
      <c r="L233" s="7"/>
      <c r="M233" s="7"/>
      <c r="N233" s="7"/>
      <c r="O233" s="14"/>
      <c r="P233" s="14"/>
      <c r="Q233" s="7"/>
      <c r="R233" s="7"/>
    </row>
    <row r="234" spans="2:20">
      <c r="H234" s="13"/>
      <c r="I234" s="13"/>
      <c r="J234" s="13"/>
      <c r="K234" s="7"/>
      <c r="L234" s="7"/>
      <c r="M234" s="7"/>
      <c r="N234" s="7"/>
      <c r="O234" s="14"/>
      <c r="P234" s="14"/>
      <c r="Q234" s="7"/>
      <c r="R234" s="7"/>
    </row>
    <row r="235" spans="2:20" ht="18.75">
      <c r="B235" s="12" t="s">
        <v>48</v>
      </c>
      <c r="E235" s="13"/>
      <c r="H235" s="13"/>
      <c r="I235" s="13"/>
      <c r="J235" s="13"/>
      <c r="K235" s="7"/>
      <c r="L235" s="7"/>
      <c r="M235" s="7"/>
      <c r="N235" s="7"/>
      <c r="O235" s="14"/>
      <c r="P235" s="15"/>
      <c r="Q235" s="7"/>
      <c r="R235" s="7"/>
    </row>
    <row r="236" spans="2:20">
      <c r="E236" s="13"/>
      <c r="H236" s="13"/>
      <c r="I236" s="13"/>
      <c r="J236" s="13"/>
      <c r="K236" s="7"/>
      <c r="L236" s="7"/>
      <c r="M236" s="7"/>
      <c r="N236" s="7"/>
      <c r="O236" s="14"/>
      <c r="P236" s="15"/>
      <c r="Q236" s="7"/>
      <c r="R236" s="7"/>
    </row>
    <row r="237" spans="2:20" ht="15.75">
      <c r="C237" s="16" t="s">
        <v>6</v>
      </c>
      <c r="E237" s="13"/>
      <c r="H237" s="13"/>
      <c r="I237" s="13"/>
      <c r="J237" s="13"/>
      <c r="K237" s="7"/>
      <c r="L237" s="7"/>
      <c r="M237" s="7"/>
      <c r="N237" s="7"/>
      <c r="O237" s="14"/>
      <c r="P237" s="15"/>
      <c r="Q237" s="7"/>
      <c r="R237" s="7"/>
    </row>
    <row r="238" spans="2:20" ht="15.75">
      <c r="C238" s="16"/>
      <c r="D238" s="17" t="s">
        <v>45</v>
      </c>
      <c r="E238" s="19" t="s">
        <v>2</v>
      </c>
      <c r="F238" s="19" t="s">
        <v>3</v>
      </c>
      <c r="G238" s="19" t="s">
        <v>4</v>
      </c>
      <c r="H238" s="19" t="s">
        <v>5</v>
      </c>
      <c r="I238" s="19" t="s">
        <v>46</v>
      </c>
      <c r="J238" s="18" t="s">
        <v>47</v>
      </c>
      <c r="K238" s="18" t="s">
        <v>42</v>
      </c>
      <c r="L238" s="18" t="s">
        <v>43</v>
      </c>
      <c r="M238" s="18" t="s">
        <v>44</v>
      </c>
      <c r="N238" s="18" t="s">
        <v>54</v>
      </c>
      <c r="O238" s="18" t="s">
        <v>55</v>
      </c>
      <c r="P238" s="20" t="s">
        <v>49</v>
      </c>
      <c r="Q238" s="21" t="s">
        <v>50</v>
      </c>
      <c r="R238" s="7"/>
      <c r="T238" s="7"/>
    </row>
    <row r="239" spans="2:20">
      <c r="D239" s="7" t="s">
        <v>7</v>
      </c>
      <c r="E239" s="10">
        <f>164</f>
        <v>164</v>
      </c>
      <c r="F239" s="10">
        <v>158</v>
      </c>
      <c r="G239" s="13">
        <v>146</v>
      </c>
      <c r="H239" s="13">
        <v>145</v>
      </c>
      <c r="I239" s="13">
        <v>155</v>
      </c>
      <c r="J239" s="13">
        <v>167</v>
      </c>
      <c r="K239" s="13">
        <v>163</v>
      </c>
      <c r="L239" s="13">
        <v>156</v>
      </c>
      <c r="M239" s="13">
        <v>143</v>
      </c>
      <c r="N239" s="13">
        <v>122</v>
      </c>
      <c r="O239" s="13">
        <v>125</v>
      </c>
      <c r="P239" s="22">
        <f>O239-N239</f>
        <v>3</v>
      </c>
      <c r="Q239" s="15">
        <f>IF(O239&lt;&gt;0,P239/O239,"           -")</f>
        <v>2.4E-2</v>
      </c>
      <c r="R239" s="7"/>
      <c r="T239" s="7"/>
    </row>
    <row r="240" spans="2:20">
      <c r="G240" s="13"/>
      <c r="H240" s="13"/>
      <c r="I240" s="13"/>
      <c r="J240" s="7"/>
      <c r="K240" s="7"/>
      <c r="L240" s="7"/>
      <c r="M240" s="7"/>
      <c r="N240" s="7"/>
      <c r="O240" s="7"/>
      <c r="P240" s="22"/>
      <c r="Q240" s="15"/>
      <c r="R240" s="7"/>
      <c r="T240" s="7"/>
    </row>
    <row r="241" spans="3:20">
      <c r="D241" s="23" t="s">
        <v>8</v>
      </c>
      <c r="E241" s="13">
        <f>3</f>
        <v>3</v>
      </c>
      <c r="F241" s="13">
        <v>2</v>
      </c>
      <c r="G241" s="13">
        <v>1</v>
      </c>
      <c r="H241" s="13">
        <v>2</v>
      </c>
      <c r="I241" s="13">
        <v>2</v>
      </c>
      <c r="J241" s="23">
        <v>3</v>
      </c>
      <c r="K241" s="23">
        <v>2</v>
      </c>
      <c r="L241" s="23">
        <v>3</v>
      </c>
      <c r="M241" s="23">
        <v>3</v>
      </c>
      <c r="N241" s="23">
        <v>3</v>
      </c>
      <c r="O241" s="23">
        <v>3</v>
      </c>
      <c r="P241" s="22">
        <f>O241-N241</f>
        <v>0</v>
      </c>
      <c r="Q241" s="15">
        <f t="shared" ref="Q241:Q244" si="48">IF(O241&lt;&gt;0,P241/O241,"           -")</f>
        <v>0</v>
      </c>
      <c r="R241" s="7"/>
      <c r="T241" s="7"/>
    </row>
    <row r="242" spans="3:20">
      <c r="D242" s="23" t="s">
        <v>9</v>
      </c>
      <c r="E242" s="13">
        <f>81</f>
        <v>81</v>
      </c>
      <c r="F242" s="13">
        <v>77</v>
      </c>
      <c r="G242" s="13">
        <v>72</v>
      </c>
      <c r="H242" s="13">
        <v>70</v>
      </c>
      <c r="I242" s="13">
        <v>79</v>
      </c>
      <c r="J242" s="23">
        <v>88</v>
      </c>
      <c r="K242" s="23">
        <v>87</v>
      </c>
      <c r="L242" s="23">
        <v>80</v>
      </c>
      <c r="M242" s="23">
        <v>67</v>
      </c>
      <c r="N242" s="23">
        <v>55</v>
      </c>
      <c r="O242" s="23">
        <v>54</v>
      </c>
      <c r="P242" s="22">
        <f t="shared" ref="P242:P244" si="49">O242-N242</f>
        <v>-1</v>
      </c>
      <c r="Q242" s="15">
        <f t="shared" si="48"/>
        <v>-1.8518518518518517E-2</v>
      </c>
      <c r="R242" s="7"/>
      <c r="T242" s="7"/>
    </row>
    <row r="243" spans="3:20">
      <c r="D243" s="23" t="s">
        <v>10</v>
      </c>
      <c r="E243" s="13">
        <f>30 + 8</f>
        <v>38</v>
      </c>
      <c r="F243" s="13">
        <f>28 + 8</f>
        <v>36</v>
      </c>
      <c r="G243" s="13">
        <f>30+6</f>
        <v>36</v>
      </c>
      <c r="H243" s="13">
        <f>29+6</f>
        <v>35</v>
      </c>
      <c r="I243" s="13">
        <v>37</v>
      </c>
      <c r="J243" s="23">
        <v>37</v>
      </c>
      <c r="K243" s="23">
        <v>38</v>
      </c>
      <c r="L243" s="23">
        <v>39</v>
      </c>
      <c r="M243" s="23">
        <v>41</v>
      </c>
      <c r="N243" s="23">
        <v>34</v>
      </c>
      <c r="O243" s="23">
        <v>38</v>
      </c>
      <c r="P243" s="22">
        <f t="shared" si="49"/>
        <v>4</v>
      </c>
      <c r="Q243" s="15">
        <f t="shared" si="48"/>
        <v>0.10526315789473684</v>
      </c>
      <c r="R243" s="7"/>
      <c r="T243" s="7"/>
    </row>
    <row r="244" spans="3:20">
      <c r="D244" s="23" t="s">
        <v>11</v>
      </c>
      <c r="E244" s="13">
        <f>42</f>
        <v>42</v>
      </c>
      <c r="F244" s="13">
        <f>43</f>
        <v>43</v>
      </c>
      <c r="G244" s="13">
        <v>37</v>
      </c>
      <c r="H244" s="13">
        <v>38</v>
      </c>
      <c r="I244" s="13">
        <v>37</v>
      </c>
      <c r="J244" s="23">
        <v>39</v>
      </c>
      <c r="K244" s="23">
        <v>36</v>
      </c>
      <c r="L244" s="23">
        <v>34</v>
      </c>
      <c r="M244" s="23">
        <v>32</v>
      </c>
      <c r="N244" s="23">
        <v>30</v>
      </c>
      <c r="O244" s="23">
        <v>30</v>
      </c>
      <c r="P244" s="22">
        <f t="shared" si="49"/>
        <v>0</v>
      </c>
      <c r="Q244" s="15">
        <f t="shared" si="48"/>
        <v>0</v>
      </c>
      <c r="R244" s="7"/>
      <c r="T244" s="7"/>
    </row>
    <row r="245" spans="3:20">
      <c r="D245" s="23"/>
      <c r="E245" s="13"/>
      <c r="F245" s="13"/>
      <c r="G245" s="13"/>
      <c r="H245" s="13"/>
      <c r="I245" s="13"/>
      <c r="J245" s="23"/>
      <c r="K245" s="23"/>
      <c r="L245" s="23"/>
      <c r="M245" s="23"/>
      <c r="N245" s="23"/>
      <c r="O245" s="23"/>
      <c r="P245" s="22"/>
      <c r="Q245" s="15"/>
      <c r="R245" s="7"/>
      <c r="T245" s="7"/>
    </row>
    <row r="246" spans="3:20">
      <c r="D246" s="23" t="s">
        <v>12</v>
      </c>
      <c r="E246" s="13">
        <f>110</f>
        <v>110</v>
      </c>
      <c r="F246" s="13">
        <f>110</f>
        <v>110</v>
      </c>
      <c r="G246" s="13">
        <v>104</v>
      </c>
      <c r="H246" s="13">
        <v>103</v>
      </c>
      <c r="I246" s="13">
        <v>105</v>
      </c>
      <c r="J246" s="77">
        <v>111</v>
      </c>
      <c r="K246" s="77">
        <v>103</v>
      </c>
      <c r="L246" s="77">
        <v>100</v>
      </c>
      <c r="M246" s="77">
        <v>100</v>
      </c>
      <c r="N246" s="77">
        <v>92</v>
      </c>
      <c r="O246" s="77">
        <v>97</v>
      </c>
      <c r="P246" s="22">
        <f>O246-N246</f>
        <v>5</v>
      </c>
      <c r="Q246" s="15">
        <f t="shared" ref="Q246:Q247" si="50">IF(O246&lt;&gt;0,P246/O246,"           -")</f>
        <v>5.1546391752577317E-2</v>
      </c>
      <c r="R246" s="7"/>
      <c r="T246" s="7"/>
    </row>
    <row r="247" spans="3:20">
      <c r="D247" s="23" t="s">
        <v>13</v>
      </c>
      <c r="E247" s="13">
        <f>6 + 48</f>
        <v>54</v>
      </c>
      <c r="F247" s="13">
        <f>48</f>
        <v>48</v>
      </c>
      <c r="G247" s="13">
        <v>42</v>
      </c>
      <c r="H247" s="13">
        <v>42</v>
      </c>
      <c r="I247" s="13">
        <v>50</v>
      </c>
      <c r="J247" s="23">
        <v>56</v>
      </c>
      <c r="K247" s="23">
        <v>60</v>
      </c>
      <c r="L247" s="23">
        <v>56</v>
      </c>
      <c r="M247" s="23">
        <v>43</v>
      </c>
      <c r="N247" s="23">
        <v>30</v>
      </c>
      <c r="O247" s="23">
        <v>28</v>
      </c>
      <c r="P247" s="22">
        <f>O247-N247</f>
        <v>-2</v>
      </c>
      <c r="Q247" s="15">
        <f t="shared" si="50"/>
        <v>-7.1428571428571425E-2</v>
      </c>
      <c r="R247" s="7"/>
      <c r="T247" s="7"/>
    </row>
    <row r="248" spans="3:20">
      <c r="D248" s="23"/>
      <c r="E248" s="13"/>
      <c r="F248" s="13"/>
      <c r="G248" s="13"/>
      <c r="H248" s="13"/>
      <c r="I248" s="13"/>
      <c r="J248" s="23"/>
      <c r="K248" s="23"/>
      <c r="L248" s="23"/>
      <c r="M248" s="23"/>
      <c r="N248" s="23"/>
      <c r="O248" s="23"/>
      <c r="P248" s="22"/>
      <c r="Q248" s="15"/>
      <c r="R248" s="7"/>
      <c r="T248" s="7"/>
    </row>
    <row r="249" spans="3:20">
      <c r="D249" s="23" t="s">
        <v>14</v>
      </c>
      <c r="E249" s="13">
        <f>116</f>
        <v>116</v>
      </c>
      <c r="F249" s="13">
        <f>114</f>
        <v>114</v>
      </c>
      <c r="G249" s="13">
        <v>106</v>
      </c>
      <c r="H249" s="13">
        <v>107</v>
      </c>
      <c r="I249" s="13">
        <v>110</v>
      </c>
      <c r="J249" s="77">
        <v>115</v>
      </c>
      <c r="K249" s="77">
        <v>110</v>
      </c>
      <c r="L249" s="77">
        <v>109</v>
      </c>
      <c r="M249" s="77">
        <v>106</v>
      </c>
      <c r="N249" s="77">
        <v>95</v>
      </c>
      <c r="O249" s="77">
        <v>100</v>
      </c>
      <c r="P249" s="22">
        <f>O249-N249</f>
        <v>5</v>
      </c>
      <c r="Q249" s="15">
        <f t="shared" ref="Q249:Q250" si="51">IF(O249&lt;&gt;0,P249/O249,"           -")</f>
        <v>0.05</v>
      </c>
      <c r="R249" s="7"/>
      <c r="T249" s="7"/>
    </row>
    <row r="250" spans="3:20">
      <c r="D250" s="23" t="s">
        <v>15</v>
      </c>
      <c r="E250" s="13">
        <f>48</f>
        <v>48</v>
      </c>
      <c r="F250" s="13">
        <v>44</v>
      </c>
      <c r="G250" s="13">
        <v>40</v>
      </c>
      <c r="H250" s="13">
        <v>38</v>
      </c>
      <c r="I250" s="13">
        <v>45</v>
      </c>
      <c r="J250" s="23">
        <v>52</v>
      </c>
      <c r="K250" s="23">
        <v>53</v>
      </c>
      <c r="L250" s="23">
        <v>47</v>
      </c>
      <c r="M250" s="23">
        <v>37</v>
      </c>
      <c r="N250" s="23">
        <v>27</v>
      </c>
      <c r="O250" s="23">
        <v>25</v>
      </c>
      <c r="P250" s="22">
        <f>O250-N250</f>
        <v>-2</v>
      </c>
      <c r="Q250" s="15">
        <f t="shared" si="51"/>
        <v>-0.08</v>
      </c>
      <c r="R250" s="7"/>
      <c r="T250" s="7"/>
    </row>
    <row r="251" spans="3:20">
      <c r="D251" s="23"/>
      <c r="E251" s="13"/>
      <c r="F251" s="13"/>
      <c r="G251" s="13"/>
      <c r="H251" s="13"/>
      <c r="I251" s="13"/>
      <c r="J251" s="13"/>
      <c r="K251" s="23"/>
      <c r="L251" s="23"/>
      <c r="M251" s="23"/>
      <c r="N251" s="23"/>
      <c r="O251" s="22"/>
      <c r="P251" s="15"/>
      <c r="Q251" s="7"/>
      <c r="R251" s="7"/>
    </row>
    <row r="252" spans="3:20" ht="15.75">
      <c r="C252" s="16" t="s">
        <v>16</v>
      </c>
      <c r="D252" s="23"/>
      <c r="E252" s="13"/>
      <c r="F252" s="13"/>
      <c r="G252" s="13"/>
      <c r="H252" s="13"/>
      <c r="I252" s="13"/>
      <c r="J252" s="13"/>
      <c r="K252" s="23"/>
      <c r="L252" s="23"/>
      <c r="M252" s="23"/>
      <c r="N252" s="23"/>
      <c r="O252" s="22"/>
      <c r="P252" s="15"/>
      <c r="Q252" s="7"/>
      <c r="R252" s="7"/>
    </row>
    <row r="253" spans="3:20" ht="15.75">
      <c r="C253" s="16"/>
      <c r="D253" s="17" t="s">
        <v>45</v>
      </c>
      <c r="E253" s="19" t="s">
        <v>2</v>
      </c>
      <c r="F253" s="19" t="s">
        <v>3</v>
      </c>
      <c r="G253" s="19" t="s">
        <v>4</v>
      </c>
      <c r="H253" s="19" t="s">
        <v>5</v>
      </c>
      <c r="I253" s="19" t="s">
        <v>46</v>
      </c>
      <c r="J253" s="18" t="s">
        <v>47</v>
      </c>
      <c r="K253" s="18" t="s">
        <v>42</v>
      </c>
      <c r="L253" s="18" t="s">
        <v>43</v>
      </c>
      <c r="M253" s="18" t="s">
        <v>44</v>
      </c>
      <c r="N253" s="18" t="s">
        <v>54</v>
      </c>
      <c r="O253" s="18" t="s">
        <v>55</v>
      </c>
      <c r="P253" s="20" t="s">
        <v>49</v>
      </c>
      <c r="Q253" s="21" t="s">
        <v>50</v>
      </c>
      <c r="R253" s="7"/>
      <c r="T253" s="7"/>
    </row>
    <row r="254" spans="3:20">
      <c r="D254" s="24" t="s">
        <v>8</v>
      </c>
      <c r="E254" s="13">
        <f>3</f>
        <v>3</v>
      </c>
      <c r="F254" s="13">
        <v>2</v>
      </c>
      <c r="G254" s="13">
        <v>1</v>
      </c>
      <c r="H254" s="13">
        <v>2</v>
      </c>
      <c r="I254" s="13">
        <v>2</v>
      </c>
      <c r="J254" s="23">
        <v>3</v>
      </c>
      <c r="K254" s="23">
        <v>2</v>
      </c>
      <c r="L254" s="23">
        <v>3</v>
      </c>
      <c r="M254" s="23">
        <v>3</v>
      </c>
      <c r="N254" s="23">
        <v>3</v>
      </c>
      <c r="O254" s="23">
        <v>3</v>
      </c>
      <c r="P254" s="22">
        <f t="shared" ref="P254:P258" si="52">O254-N254</f>
        <v>0</v>
      </c>
      <c r="Q254" s="15">
        <f t="shared" ref="Q254:Q258" si="53">IF(O254&lt;&gt;0,P254/O254,"           -")</f>
        <v>0</v>
      </c>
      <c r="R254" s="23"/>
      <c r="T254" s="7"/>
    </row>
    <row r="255" spans="3:20">
      <c r="D255" s="24" t="s">
        <v>9</v>
      </c>
      <c r="E255" s="13">
        <f>32</f>
        <v>32</v>
      </c>
      <c r="F255" s="13">
        <f>32</f>
        <v>32</v>
      </c>
      <c r="G255" s="13">
        <v>31</v>
      </c>
      <c r="H255" s="13">
        <v>30</v>
      </c>
      <c r="I255" s="13">
        <v>30</v>
      </c>
      <c r="J255" s="23">
        <v>33</v>
      </c>
      <c r="K255" s="23">
        <v>30</v>
      </c>
      <c r="L255" s="23">
        <v>30</v>
      </c>
      <c r="M255" s="23">
        <v>29</v>
      </c>
      <c r="N255" s="23">
        <v>27</v>
      </c>
      <c r="O255" s="23">
        <v>28</v>
      </c>
      <c r="P255" s="22">
        <f t="shared" si="52"/>
        <v>1</v>
      </c>
      <c r="Q255" s="15">
        <f t="shared" si="53"/>
        <v>3.5714285714285712E-2</v>
      </c>
      <c r="R255" s="23"/>
      <c r="T255" s="7"/>
    </row>
    <row r="256" spans="3:20">
      <c r="D256" s="24" t="s">
        <v>10</v>
      </c>
      <c r="E256" s="13">
        <f>28 + 8</f>
        <v>36</v>
      </c>
      <c r="F256" s="13">
        <f>28 + 8</f>
        <v>36</v>
      </c>
      <c r="G256" s="13">
        <f>30+6</f>
        <v>36</v>
      </c>
      <c r="H256" s="13">
        <f>28+6</f>
        <v>34</v>
      </c>
      <c r="I256" s="13">
        <v>37</v>
      </c>
      <c r="J256" s="23">
        <v>37</v>
      </c>
      <c r="K256" s="23">
        <v>37</v>
      </c>
      <c r="L256" s="23">
        <v>35</v>
      </c>
      <c r="M256" s="23">
        <v>38</v>
      </c>
      <c r="N256" s="23">
        <v>33</v>
      </c>
      <c r="O256" s="23">
        <v>38</v>
      </c>
      <c r="P256" s="22">
        <f t="shared" si="52"/>
        <v>5</v>
      </c>
      <c r="Q256" s="15">
        <f t="shared" si="53"/>
        <v>0.13157894736842105</v>
      </c>
      <c r="R256" s="23"/>
      <c r="T256" s="7"/>
    </row>
    <row r="257" spans="1:20">
      <c r="A257" s="65"/>
      <c r="D257" s="24" t="s">
        <v>11</v>
      </c>
      <c r="E257" s="13">
        <f>39</f>
        <v>39</v>
      </c>
      <c r="F257" s="13">
        <f>40</f>
        <v>40</v>
      </c>
      <c r="G257" s="13">
        <v>36</v>
      </c>
      <c r="H257" s="13">
        <v>37</v>
      </c>
      <c r="I257" s="13">
        <v>36</v>
      </c>
      <c r="J257" s="23">
        <v>38</v>
      </c>
      <c r="K257" s="23">
        <v>34</v>
      </c>
      <c r="L257" s="23">
        <v>32</v>
      </c>
      <c r="M257" s="23">
        <v>30</v>
      </c>
      <c r="N257" s="23">
        <v>29</v>
      </c>
      <c r="O257" s="23">
        <v>28</v>
      </c>
      <c r="P257" s="22">
        <f t="shared" si="52"/>
        <v>-1</v>
      </c>
      <c r="Q257" s="15">
        <f t="shared" si="53"/>
        <v>-3.5714285714285712E-2</v>
      </c>
      <c r="R257" s="23"/>
      <c r="T257" s="7"/>
    </row>
    <row r="258" spans="1:20">
      <c r="D258" s="24" t="s">
        <v>7</v>
      </c>
      <c r="E258" s="13">
        <f t="shared" ref="E258:H258" si="54">SUM(E254:E257)</f>
        <v>110</v>
      </c>
      <c r="F258" s="13">
        <f t="shared" si="54"/>
        <v>110</v>
      </c>
      <c r="G258" s="13">
        <f t="shared" si="54"/>
        <v>104</v>
      </c>
      <c r="H258" s="13">
        <f t="shared" si="54"/>
        <v>103</v>
      </c>
      <c r="I258" s="13">
        <v>105</v>
      </c>
      <c r="J258" s="13">
        <v>111</v>
      </c>
      <c r="K258" s="13">
        <v>103</v>
      </c>
      <c r="L258" s="13">
        <v>100</v>
      </c>
      <c r="M258" s="13">
        <v>100</v>
      </c>
      <c r="N258" s="13">
        <v>92</v>
      </c>
      <c r="O258" s="13">
        <f>SUBTOTAL(109,O254:O257)</f>
        <v>97</v>
      </c>
      <c r="P258" s="22">
        <f t="shared" si="52"/>
        <v>5</v>
      </c>
      <c r="Q258" s="15">
        <f t="shared" si="53"/>
        <v>5.1546391752577317E-2</v>
      </c>
      <c r="R258" s="23"/>
      <c r="T258" s="7"/>
    </row>
    <row r="259" spans="1:20">
      <c r="D259" s="24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22"/>
      <c r="P259" s="15"/>
      <c r="Q259" s="23"/>
      <c r="R259" s="7"/>
    </row>
    <row r="260" spans="1:20">
      <c r="D260" s="23"/>
      <c r="E260" s="13"/>
      <c r="F260" s="13"/>
      <c r="G260" s="13"/>
      <c r="H260" s="13"/>
      <c r="I260" s="13"/>
      <c r="J260" s="13"/>
      <c r="K260" s="23"/>
      <c r="L260" s="23"/>
      <c r="M260" s="23"/>
      <c r="N260" s="23"/>
      <c r="O260" s="22"/>
      <c r="P260" s="15"/>
      <c r="Q260" s="23"/>
      <c r="R260" s="7"/>
    </row>
    <row r="261" spans="1:20" ht="18.75">
      <c r="B261" s="12" t="s">
        <v>51</v>
      </c>
      <c r="D261" s="23"/>
      <c r="E261" s="13"/>
      <c r="F261" s="13"/>
      <c r="G261" s="13"/>
      <c r="H261" s="13"/>
      <c r="I261" s="13"/>
      <c r="J261" s="13"/>
      <c r="K261" s="23"/>
      <c r="L261" s="23"/>
      <c r="M261" s="23"/>
      <c r="N261" s="23"/>
      <c r="O261" s="22"/>
      <c r="P261" s="15"/>
      <c r="Q261" s="23"/>
      <c r="R261" s="7"/>
    </row>
    <row r="262" spans="1:20">
      <c r="D262" s="23"/>
      <c r="E262" s="13"/>
      <c r="F262" s="13"/>
      <c r="G262" s="13"/>
      <c r="H262" s="13"/>
      <c r="I262" s="13"/>
      <c r="J262" s="13"/>
      <c r="K262" s="23"/>
      <c r="L262" s="23"/>
      <c r="M262" s="23"/>
      <c r="N262" s="23"/>
      <c r="O262" s="22"/>
      <c r="P262" s="15"/>
      <c r="Q262" s="23"/>
      <c r="R262" s="7"/>
    </row>
    <row r="263" spans="1:20" ht="18.75">
      <c r="C263" s="16" t="s">
        <v>52</v>
      </c>
      <c r="D263" s="23"/>
      <c r="E263" s="13"/>
      <c r="F263" s="13"/>
      <c r="G263" s="13"/>
      <c r="H263" s="13"/>
      <c r="I263" s="13"/>
      <c r="J263" s="13"/>
      <c r="K263" s="23"/>
      <c r="L263" s="23"/>
      <c r="M263" s="23"/>
      <c r="N263" s="23"/>
      <c r="O263" s="22"/>
      <c r="P263" s="15"/>
      <c r="Q263" s="23"/>
      <c r="R263" s="7"/>
    </row>
    <row r="264" spans="1:20" ht="15.75">
      <c r="C264" s="16"/>
      <c r="D264" s="17" t="s">
        <v>45</v>
      </c>
      <c r="E264" s="19" t="s">
        <v>2</v>
      </c>
      <c r="F264" s="19" t="s">
        <v>3</v>
      </c>
      <c r="G264" s="19" t="s">
        <v>4</v>
      </c>
      <c r="H264" s="19" t="s">
        <v>5</v>
      </c>
      <c r="I264" s="19" t="s">
        <v>46</v>
      </c>
      <c r="J264" s="18" t="s">
        <v>47</v>
      </c>
      <c r="K264" s="18" t="s">
        <v>42</v>
      </c>
      <c r="L264" s="18" t="s">
        <v>43</v>
      </c>
      <c r="M264" s="18" t="s">
        <v>44</v>
      </c>
      <c r="N264" s="18" t="s">
        <v>54</v>
      </c>
      <c r="O264" s="18" t="s">
        <v>55</v>
      </c>
      <c r="P264" s="20" t="s">
        <v>49</v>
      </c>
      <c r="Q264" s="21" t="s">
        <v>50</v>
      </c>
      <c r="R264" s="23"/>
      <c r="T264" s="7"/>
    </row>
    <row r="265" spans="1:20">
      <c r="D265" s="23" t="s">
        <v>8</v>
      </c>
      <c r="E265" s="25">
        <f>3</f>
        <v>3</v>
      </c>
      <c r="F265" s="25">
        <f>2</f>
        <v>2</v>
      </c>
      <c r="G265" s="25">
        <v>1</v>
      </c>
      <c r="H265" s="25">
        <v>2</v>
      </c>
      <c r="I265" s="25">
        <v>2</v>
      </c>
      <c r="J265" s="45">
        <v>3</v>
      </c>
      <c r="K265" s="45">
        <v>2</v>
      </c>
      <c r="L265" s="45">
        <v>3</v>
      </c>
      <c r="M265" s="45">
        <v>3</v>
      </c>
      <c r="N265" s="45">
        <v>3</v>
      </c>
      <c r="O265" s="45">
        <v>3</v>
      </c>
      <c r="P265" s="22">
        <f t="shared" ref="P265:P269" si="55">O265-N265</f>
        <v>0</v>
      </c>
      <c r="Q265" s="15">
        <f t="shared" ref="Q265:Q269" si="56">IF(O265&lt;&gt;0,P265/O265,"           -")</f>
        <v>0</v>
      </c>
      <c r="R265" s="23"/>
      <c r="T265" s="7"/>
    </row>
    <row r="266" spans="1:20">
      <c r="D266" s="23" t="s">
        <v>9</v>
      </c>
      <c r="E266" s="25">
        <f>44.97 + 0.6</f>
        <v>45.57</v>
      </c>
      <c r="F266" s="25">
        <f>45.48 +0.2</f>
        <v>45.68</v>
      </c>
      <c r="G266" s="25">
        <f>44.13+0.77</f>
        <v>44.900000000000006</v>
      </c>
      <c r="H266" s="25">
        <v>46</v>
      </c>
      <c r="I266" s="25">
        <v>43</v>
      </c>
      <c r="J266" s="45">
        <v>50</v>
      </c>
      <c r="K266" s="45">
        <v>45</v>
      </c>
      <c r="L266" s="45">
        <v>44</v>
      </c>
      <c r="M266" s="45">
        <v>38</v>
      </c>
      <c r="N266" s="45">
        <v>33</v>
      </c>
      <c r="O266" s="45">
        <v>35</v>
      </c>
      <c r="P266" s="22">
        <f t="shared" si="55"/>
        <v>2</v>
      </c>
      <c r="Q266" s="15">
        <f t="shared" si="56"/>
        <v>5.7142857142857141E-2</v>
      </c>
      <c r="R266" s="23"/>
      <c r="T266" s="7"/>
    </row>
    <row r="267" spans="1:20">
      <c r="D267" s="23" t="s">
        <v>10</v>
      </c>
      <c r="E267" s="25">
        <f>25.5 + 0.38 +0.5 + 7</f>
        <v>33.379999999999995</v>
      </c>
      <c r="F267" s="25">
        <f>24 + 0.38 + 0.5 + 6.85 + 0.15</f>
        <v>31.879999999999995</v>
      </c>
      <c r="G267" s="25">
        <f>25.1+0.5+1+4.85+0.15</f>
        <v>31.6</v>
      </c>
      <c r="H267" s="25">
        <v>31</v>
      </c>
      <c r="I267" s="25">
        <v>32</v>
      </c>
      <c r="J267" s="45">
        <v>34</v>
      </c>
      <c r="K267" s="45">
        <v>35</v>
      </c>
      <c r="L267" s="45">
        <v>33</v>
      </c>
      <c r="M267" s="45">
        <v>36</v>
      </c>
      <c r="N267" s="45">
        <v>29</v>
      </c>
      <c r="O267" s="45">
        <v>34</v>
      </c>
      <c r="P267" s="22">
        <f t="shared" si="55"/>
        <v>5</v>
      </c>
      <c r="Q267" s="15">
        <f t="shared" si="56"/>
        <v>0.14705882352941177</v>
      </c>
      <c r="R267" s="23"/>
      <c r="T267" s="7"/>
    </row>
    <row r="268" spans="1:20">
      <c r="D268" s="23" t="s">
        <v>11</v>
      </c>
      <c r="E268" s="25">
        <f>35.05</f>
        <v>35.049999999999997</v>
      </c>
      <c r="F268" s="25">
        <f>36.05</f>
        <v>36.049999999999997</v>
      </c>
      <c r="G268" s="25">
        <f>31.9</f>
        <v>31.9</v>
      </c>
      <c r="H268" s="25">
        <v>33</v>
      </c>
      <c r="I268" s="25">
        <v>30</v>
      </c>
      <c r="J268" s="45">
        <v>31</v>
      </c>
      <c r="K268" s="45">
        <v>29</v>
      </c>
      <c r="L268" s="45">
        <v>27</v>
      </c>
      <c r="M268" s="45">
        <v>26</v>
      </c>
      <c r="N268" s="45">
        <v>25</v>
      </c>
      <c r="O268" s="45">
        <v>25</v>
      </c>
      <c r="P268" s="22">
        <f t="shared" si="55"/>
        <v>0</v>
      </c>
      <c r="Q268" s="15">
        <f t="shared" si="56"/>
        <v>0</v>
      </c>
      <c r="R268" s="23"/>
      <c r="T268" s="7"/>
    </row>
    <row r="269" spans="1:20">
      <c r="D269" s="23" t="s">
        <v>7</v>
      </c>
      <c r="E269" s="13">
        <f t="shared" ref="E269:H269" si="57">SUM(E265:E268)</f>
        <v>116.99999999999999</v>
      </c>
      <c r="F269" s="13">
        <f t="shared" si="57"/>
        <v>115.61</v>
      </c>
      <c r="G269" s="13">
        <f t="shared" si="57"/>
        <v>109.4</v>
      </c>
      <c r="H269" s="13">
        <f t="shared" si="57"/>
        <v>112</v>
      </c>
      <c r="I269" s="13">
        <v>107</v>
      </c>
      <c r="J269" s="13">
        <v>118</v>
      </c>
      <c r="K269" s="13">
        <v>111</v>
      </c>
      <c r="L269" s="13">
        <v>107</v>
      </c>
      <c r="M269" s="13">
        <v>103</v>
      </c>
      <c r="N269" s="13">
        <v>90</v>
      </c>
      <c r="O269" s="13">
        <f>SUBTOTAL(109,O265:O268)</f>
        <v>97</v>
      </c>
      <c r="P269" s="22">
        <f t="shared" si="55"/>
        <v>7</v>
      </c>
      <c r="Q269" s="15">
        <f t="shared" si="56"/>
        <v>7.2164948453608241E-2</v>
      </c>
      <c r="R269" s="23"/>
      <c r="T269" s="7"/>
    </row>
    <row r="270" spans="1:20">
      <c r="D270" s="23"/>
      <c r="E270" s="13"/>
      <c r="F270" s="25"/>
      <c r="G270" s="25"/>
      <c r="H270" s="25"/>
      <c r="I270" s="25"/>
      <c r="J270" s="25"/>
      <c r="K270" s="39"/>
      <c r="L270" s="39"/>
      <c r="M270" s="39"/>
      <c r="N270" s="39"/>
      <c r="O270" s="22"/>
      <c r="P270" s="15"/>
      <c r="Q270" s="23"/>
      <c r="R270" s="7"/>
    </row>
    <row r="271" spans="1:20" ht="18.75">
      <c r="C271" s="16" t="s">
        <v>53</v>
      </c>
      <c r="D271" s="23"/>
      <c r="E271" s="13"/>
      <c r="F271" s="25"/>
      <c r="G271" s="25"/>
      <c r="H271" s="25"/>
      <c r="I271" s="25"/>
      <c r="J271" s="25"/>
      <c r="K271" s="39"/>
      <c r="L271" s="39"/>
      <c r="M271" s="39"/>
      <c r="N271" s="39"/>
      <c r="O271" s="22"/>
      <c r="P271" s="15"/>
      <c r="Q271" s="23"/>
      <c r="R271" s="7"/>
    </row>
    <row r="272" spans="1:20" ht="15.75">
      <c r="C272" s="16"/>
      <c r="D272" s="17" t="s">
        <v>45</v>
      </c>
      <c r="E272" s="19" t="s">
        <v>2</v>
      </c>
      <c r="F272" s="19" t="s">
        <v>3</v>
      </c>
      <c r="G272" s="19" t="s">
        <v>4</v>
      </c>
      <c r="H272" s="19" t="s">
        <v>5</v>
      </c>
      <c r="I272" s="19" t="s">
        <v>46</v>
      </c>
      <c r="J272" s="18" t="s">
        <v>47</v>
      </c>
      <c r="K272" s="18" t="s">
        <v>42</v>
      </c>
      <c r="L272" s="18" t="s">
        <v>43</v>
      </c>
      <c r="M272" s="18" t="s">
        <v>44</v>
      </c>
      <c r="N272" s="18" t="s">
        <v>54</v>
      </c>
      <c r="O272" s="18" t="s">
        <v>55</v>
      </c>
      <c r="P272" s="20" t="s">
        <v>49</v>
      </c>
      <c r="Q272" s="21" t="s">
        <v>50</v>
      </c>
      <c r="R272" s="23"/>
      <c r="T272" s="7"/>
    </row>
    <row r="273" spans="2:20">
      <c r="D273" s="23" t="s">
        <v>8</v>
      </c>
      <c r="E273" s="25">
        <f t="shared" ref="E273:G276" si="58">E281-E265</f>
        <v>0</v>
      </c>
      <c r="F273" s="25">
        <f t="shared" si="58"/>
        <v>0</v>
      </c>
      <c r="G273" s="25">
        <f t="shared" si="58"/>
        <v>0</v>
      </c>
      <c r="H273" s="25">
        <v>0</v>
      </c>
      <c r="I273" s="25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22">
        <f t="shared" ref="P273:P277" si="59">O273-N273</f>
        <v>0</v>
      </c>
      <c r="Q273" s="15" t="str">
        <f t="shared" ref="Q273:Q277" si="60">IF(O273&lt;&gt;0,P273/O273,"           -")</f>
        <v xml:space="preserve">           -</v>
      </c>
      <c r="R273" s="23"/>
      <c r="T273" s="7"/>
    </row>
    <row r="274" spans="2:20">
      <c r="D274" s="23" t="s">
        <v>9</v>
      </c>
      <c r="E274" s="25">
        <f t="shared" si="58"/>
        <v>0</v>
      </c>
      <c r="F274" s="25">
        <f t="shared" si="58"/>
        <v>0.17000000000000171</v>
      </c>
      <c r="G274" s="25">
        <f t="shared" si="58"/>
        <v>0</v>
      </c>
      <c r="H274" s="25">
        <v>0</v>
      </c>
      <c r="I274" s="25">
        <v>1</v>
      </c>
      <c r="J274" s="46">
        <v>1</v>
      </c>
      <c r="K274" s="46">
        <v>1</v>
      </c>
      <c r="L274" s="46">
        <v>1</v>
      </c>
      <c r="M274" s="46">
        <v>1</v>
      </c>
      <c r="N274" s="46">
        <v>1</v>
      </c>
      <c r="O274" s="46">
        <v>1</v>
      </c>
      <c r="P274" s="22">
        <f t="shared" si="59"/>
        <v>0</v>
      </c>
      <c r="Q274" s="15">
        <f t="shared" si="60"/>
        <v>0</v>
      </c>
      <c r="R274" s="23"/>
      <c r="T274" s="7"/>
    </row>
    <row r="275" spans="2:20">
      <c r="D275" s="23" t="s">
        <v>10</v>
      </c>
      <c r="E275" s="25">
        <f t="shared" si="58"/>
        <v>3.6200000000000045</v>
      </c>
      <c r="F275" s="25">
        <f t="shared" si="58"/>
        <v>4.1200000000000045</v>
      </c>
      <c r="G275" s="25">
        <f t="shared" si="58"/>
        <v>4.3999999999999986</v>
      </c>
      <c r="H275" s="25">
        <v>5</v>
      </c>
      <c r="I275" s="25">
        <v>5</v>
      </c>
      <c r="J275" s="46">
        <v>4</v>
      </c>
      <c r="K275" s="46">
        <v>4</v>
      </c>
      <c r="L275" s="46">
        <v>4</v>
      </c>
      <c r="M275" s="46">
        <v>4</v>
      </c>
      <c r="N275" s="46">
        <v>5</v>
      </c>
      <c r="O275" s="46">
        <v>4</v>
      </c>
      <c r="P275" s="22">
        <f t="shared" si="59"/>
        <v>-1</v>
      </c>
      <c r="Q275" s="15">
        <f t="shared" si="60"/>
        <v>-0.25</v>
      </c>
      <c r="R275" s="23"/>
      <c r="T275" s="7"/>
    </row>
    <row r="276" spans="2:20">
      <c r="D276" s="23" t="s">
        <v>11</v>
      </c>
      <c r="E276" s="25">
        <f t="shared" si="58"/>
        <v>6</v>
      </c>
      <c r="F276" s="25">
        <f t="shared" si="58"/>
        <v>6</v>
      </c>
      <c r="G276" s="25">
        <f t="shared" si="58"/>
        <v>5</v>
      </c>
      <c r="H276" s="25">
        <v>6</v>
      </c>
      <c r="I276" s="25">
        <v>7</v>
      </c>
      <c r="J276" s="46">
        <v>8</v>
      </c>
      <c r="K276" s="46">
        <v>6</v>
      </c>
      <c r="L276" s="46">
        <v>6</v>
      </c>
      <c r="M276" s="46">
        <v>5</v>
      </c>
      <c r="N276" s="46">
        <v>5</v>
      </c>
      <c r="O276" s="46">
        <v>5</v>
      </c>
      <c r="P276" s="22">
        <f t="shared" si="59"/>
        <v>0</v>
      </c>
      <c r="Q276" s="15">
        <f t="shared" si="60"/>
        <v>0</v>
      </c>
      <c r="R276" s="23"/>
      <c r="T276" s="7"/>
    </row>
    <row r="277" spans="2:20">
      <c r="D277" s="23" t="s">
        <v>7</v>
      </c>
      <c r="E277" s="25">
        <f t="shared" ref="E277:H277" si="61">SUM(E273:E276)</f>
        <v>9.6200000000000045</v>
      </c>
      <c r="F277" s="25">
        <f t="shared" si="61"/>
        <v>10.290000000000006</v>
      </c>
      <c r="G277" s="25">
        <f t="shared" si="61"/>
        <v>9.3999999999999986</v>
      </c>
      <c r="H277" s="25">
        <f t="shared" si="61"/>
        <v>11</v>
      </c>
      <c r="I277" s="25">
        <v>13</v>
      </c>
      <c r="J277" s="25">
        <v>13</v>
      </c>
      <c r="K277" s="25">
        <v>11</v>
      </c>
      <c r="L277" s="25">
        <v>11</v>
      </c>
      <c r="M277" s="25">
        <v>10</v>
      </c>
      <c r="N277" s="25">
        <v>11</v>
      </c>
      <c r="O277" s="25">
        <f>SUBTOTAL(109,O273:O276)</f>
        <v>10</v>
      </c>
      <c r="P277" s="22">
        <f t="shared" si="59"/>
        <v>-1</v>
      </c>
      <c r="Q277" s="15">
        <f t="shared" si="60"/>
        <v>-0.1</v>
      </c>
      <c r="R277" s="23"/>
      <c r="T277" s="7"/>
    </row>
    <row r="278" spans="2:20">
      <c r="D278" s="23"/>
      <c r="E278" s="13"/>
      <c r="F278" s="25"/>
      <c r="G278" s="25"/>
      <c r="H278" s="25"/>
      <c r="I278" s="25"/>
      <c r="J278" s="25"/>
      <c r="K278" s="23"/>
      <c r="L278" s="23"/>
      <c r="M278" s="23"/>
      <c r="N278" s="23"/>
      <c r="O278" s="22"/>
      <c r="P278" s="15"/>
      <c r="Q278" s="23"/>
      <c r="R278" s="7"/>
    </row>
    <row r="279" spans="2:20" ht="15.75">
      <c r="C279" s="16" t="s">
        <v>17</v>
      </c>
      <c r="D279" s="23"/>
      <c r="E279" s="13"/>
      <c r="F279" s="25"/>
      <c r="G279" s="25"/>
      <c r="H279" s="25"/>
      <c r="I279" s="25"/>
      <c r="J279" s="25"/>
      <c r="K279" s="23"/>
      <c r="L279" s="23"/>
      <c r="M279" s="23"/>
      <c r="N279" s="23"/>
      <c r="O279" s="22"/>
      <c r="P279" s="15"/>
      <c r="Q279" s="23"/>
      <c r="R279" s="7"/>
    </row>
    <row r="280" spans="2:20" ht="15.75">
      <c r="C280" s="16"/>
      <c r="D280" s="17" t="s">
        <v>45</v>
      </c>
      <c r="E280" s="19" t="s">
        <v>2</v>
      </c>
      <c r="F280" s="19" t="s">
        <v>3</v>
      </c>
      <c r="G280" s="19" t="s">
        <v>4</v>
      </c>
      <c r="H280" s="19" t="s">
        <v>5</v>
      </c>
      <c r="I280" s="19" t="s">
        <v>46</v>
      </c>
      <c r="J280" s="18" t="s">
        <v>47</v>
      </c>
      <c r="K280" s="18" t="s">
        <v>42</v>
      </c>
      <c r="L280" s="18" t="s">
        <v>43</v>
      </c>
      <c r="M280" s="18" t="s">
        <v>44</v>
      </c>
      <c r="N280" s="18" t="s">
        <v>54</v>
      </c>
      <c r="O280" s="18" t="s">
        <v>55</v>
      </c>
      <c r="P280" s="20" t="s">
        <v>49</v>
      </c>
      <c r="Q280" s="21" t="s">
        <v>50</v>
      </c>
      <c r="R280" s="23"/>
      <c r="T280" s="7"/>
    </row>
    <row r="281" spans="2:20">
      <c r="D281" s="23" t="s">
        <v>8</v>
      </c>
      <c r="E281" s="25">
        <v>3</v>
      </c>
      <c r="F281" s="25">
        <f>2</f>
        <v>2</v>
      </c>
      <c r="G281" s="25">
        <v>1</v>
      </c>
      <c r="H281" s="25">
        <f>H273+H265</f>
        <v>2</v>
      </c>
      <c r="I281" s="25">
        <v>2</v>
      </c>
      <c r="J281" s="25">
        <v>3</v>
      </c>
      <c r="K281" s="25">
        <v>2</v>
      </c>
      <c r="L281" s="25">
        <v>3</v>
      </c>
      <c r="M281" s="25">
        <v>3</v>
      </c>
      <c r="N281" s="25">
        <v>3</v>
      </c>
      <c r="O281" s="25">
        <v>3</v>
      </c>
      <c r="P281" s="22">
        <f t="shared" ref="P281:P285" si="62">O281-N281</f>
        <v>0</v>
      </c>
      <c r="Q281" s="15">
        <f t="shared" ref="Q281:Q285" si="63">IF(O281&lt;&gt;0,P281/O281,"           -")</f>
        <v>0</v>
      </c>
      <c r="R281" s="15"/>
      <c r="T281" s="7"/>
    </row>
    <row r="282" spans="2:20">
      <c r="D282" s="23" t="s">
        <v>9</v>
      </c>
      <c r="E282" s="25">
        <f>45.57</f>
        <v>45.57</v>
      </c>
      <c r="F282" s="25">
        <f>45.85</f>
        <v>45.85</v>
      </c>
      <c r="G282" s="25">
        <v>44.9</v>
      </c>
      <c r="H282" s="25">
        <f>H274+H266</f>
        <v>46</v>
      </c>
      <c r="I282" s="25">
        <v>44</v>
      </c>
      <c r="J282" s="25">
        <v>51</v>
      </c>
      <c r="K282" s="25">
        <v>46</v>
      </c>
      <c r="L282" s="25">
        <v>45</v>
      </c>
      <c r="M282" s="25">
        <v>39</v>
      </c>
      <c r="N282" s="25">
        <v>34</v>
      </c>
      <c r="O282" s="25">
        <v>36</v>
      </c>
      <c r="P282" s="22">
        <f t="shared" si="62"/>
        <v>2</v>
      </c>
      <c r="Q282" s="15">
        <f t="shared" si="63"/>
        <v>5.5555555555555552E-2</v>
      </c>
      <c r="R282" s="13"/>
      <c r="S282" s="10"/>
      <c r="T282" s="7"/>
    </row>
    <row r="283" spans="2:20">
      <c r="D283" s="23" t="s">
        <v>10</v>
      </c>
      <c r="E283" s="25">
        <f>29 + 8</f>
        <v>37</v>
      </c>
      <c r="F283" s="25">
        <f>28 + 8</f>
        <v>36</v>
      </c>
      <c r="G283" s="25">
        <f>30+6</f>
        <v>36</v>
      </c>
      <c r="H283" s="25">
        <f>H275+H267</f>
        <v>36</v>
      </c>
      <c r="I283" s="25">
        <v>37</v>
      </c>
      <c r="J283" s="25">
        <v>38</v>
      </c>
      <c r="K283" s="25">
        <v>39</v>
      </c>
      <c r="L283" s="25">
        <v>37</v>
      </c>
      <c r="M283" s="25">
        <v>40</v>
      </c>
      <c r="N283" s="25">
        <v>34</v>
      </c>
      <c r="O283" s="25">
        <v>38</v>
      </c>
      <c r="P283" s="22">
        <f t="shared" si="62"/>
        <v>4</v>
      </c>
      <c r="Q283" s="15">
        <f t="shared" si="63"/>
        <v>0.10526315789473684</v>
      </c>
      <c r="S283" s="10"/>
      <c r="T283" s="7"/>
    </row>
    <row r="284" spans="2:20">
      <c r="D284" s="23" t="s">
        <v>11</v>
      </c>
      <c r="E284" s="25">
        <f>41.05</f>
        <v>41.05</v>
      </c>
      <c r="F284" s="25">
        <f>42.05</f>
        <v>42.05</v>
      </c>
      <c r="G284" s="25">
        <v>36.9</v>
      </c>
      <c r="H284" s="25">
        <f>H276+H268</f>
        <v>39</v>
      </c>
      <c r="I284" s="25">
        <v>37</v>
      </c>
      <c r="J284" s="25">
        <v>39</v>
      </c>
      <c r="K284" s="25">
        <v>35</v>
      </c>
      <c r="L284" s="25">
        <v>33</v>
      </c>
      <c r="M284" s="25">
        <v>31</v>
      </c>
      <c r="N284" s="25">
        <v>30</v>
      </c>
      <c r="O284" s="25">
        <v>30</v>
      </c>
      <c r="P284" s="22">
        <f t="shared" si="62"/>
        <v>0</v>
      </c>
      <c r="Q284" s="15">
        <f t="shared" si="63"/>
        <v>0</v>
      </c>
      <c r="S284" s="10"/>
      <c r="T284" s="7"/>
    </row>
    <row r="285" spans="2:20">
      <c r="D285" s="23" t="s">
        <v>7</v>
      </c>
      <c r="E285" s="13">
        <f t="shared" ref="E285:H285" si="64">SUM(E281:E284)</f>
        <v>126.61999999999999</v>
      </c>
      <c r="F285" s="13">
        <f t="shared" si="64"/>
        <v>125.89999999999999</v>
      </c>
      <c r="G285" s="13">
        <f t="shared" si="64"/>
        <v>118.80000000000001</v>
      </c>
      <c r="H285" s="13">
        <f t="shared" si="64"/>
        <v>123</v>
      </c>
      <c r="I285" s="13">
        <v>120</v>
      </c>
      <c r="J285" s="13">
        <v>131</v>
      </c>
      <c r="K285" s="13">
        <v>122</v>
      </c>
      <c r="L285" s="13">
        <v>118</v>
      </c>
      <c r="M285" s="13">
        <v>113</v>
      </c>
      <c r="N285" s="13">
        <v>101</v>
      </c>
      <c r="O285" s="13">
        <f>SUBTOTAL(109,O281:O284)</f>
        <v>107</v>
      </c>
      <c r="P285" s="22">
        <f t="shared" si="62"/>
        <v>6</v>
      </c>
      <c r="Q285" s="15">
        <f t="shared" si="63"/>
        <v>5.6074766355140186E-2</v>
      </c>
      <c r="S285" s="10"/>
      <c r="T285" s="7"/>
    </row>
    <row r="286" spans="2:20"/>
    <row r="287" spans="2:20">
      <c r="B287" s="7" t="str">
        <f>"_________________________"</f>
        <v>_________________________</v>
      </c>
    </row>
    <row r="288" spans="2:20" ht="18">
      <c r="C288" s="67">
        <v>1</v>
      </c>
      <c r="D288" s="7" t="s">
        <v>18</v>
      </c>
    </row>
    <row r="289" spans="2:18" ht="18">
      <c r="C289" s="67">
        <v>2</v>
      </c>
      <c r="D289" s="7" t="s">
        <v>19</v>
      </c>
    </row>
    <row r="290" spans="2:18" ht="18">
      <c r="C290" s="67"/>
      <c r="D290" s="7" t="s">
        <v>20</v>
      </c>
    </row>
    <row r="291" spans="2:18" ht="18">
      <c r="C291" s="67">
        <v>3</v>
      </c>
      <c r="D291" s="7" t="s">
        <v>21</v>
      </c>
    </row>
    <row r="292" spans="2:18">
      <c r="D292" s="7" t="s">
        <v>22</v>
      </c>
    </row>
    <row r="293" spans="2:18">
      <c r="D293" s="7" t="s">
        <v>23</v>
      </c>
    </row>
    <row r="294" spans="2:18" ht="18">
      <c r="C294" s="67">
        <v>4</v>
      </c>
      <c r="D294" s="7" t="s">
        <v>24</v>
      </c>
    </row>
    <row r="295" spans="2:18" ht="18">
      <c r="C295" s="67"/>
    </row>
    <row r="296" spans="2:18" ht="18">
      <c r="C296" s="67"/>
    </row>
    <row r="297" spans="2:18" ht="18">
      <c r="C297" s="67"/>
    </row>
    <row r="298" spans="2:18" ht="18">
      <c r="C298" s="67"/>
    </row>
    <row r="299" spans="2:18" ht="18">
      <c r="C299" s="67"/>
    </row>
    <row r="300" spans="2:18" ht="18">
      <c r="B300" s="7" t="s">
        <v>25</v>
      </c>
      <c r="C300" s="67"/>
    </row>
    <row r="301" spans="2:18" ht="18">
      <c r="B301" s="7" t="str">
        <f>B75</f>
        <v>November 13, 2023</v>
      </c>
      <c r="C301" s="67"/>
    </row>
    <row r="302" spans="2:18" ht="15.75">
      <c r="Q302" s="8"/>
      <c r="R302" s="8"/>
    </row>
    <row r="303" spans="2:18" ht="15.75">
      <c r="Q303" s="8"/>
      <c r="R303" s="8"/>
    </row>
    <row r="304" spans="2:18">
      <c r="B304" s="40"/>
      <c r="Q304" s="7"/>
      <c r="R304" s="7"/>
    </row>
    <row r="305" spans="2:20">
      <c r="B305" s="40"/>
      <c r="Q305" s="7"/>
      <c r="R305" s="7"/>
    </row>
    <row r="306" spans="2:20" ht="15.75">
      <c r="C306" s="8"/>
      <c r="D306" s="8"/>
      <c r="E306" s="8"/>
      <c r="F306" s="8"/>
      <c r="G306" s="8"/>
      <c r="H306" s="8"/>
      <c r="I306" s="40"/>
      <c r="J306" s="9" t="s">
        <v>26</v>
      </c>
      <c r="K306" s="8"/>
      <c r="L306" s="8"/>
      <c r="M306" s="8"/>
      <c r="N306" s="8"/>
      <c r="O306" s="8"/>
      <c r="P306" s="8"/>
      <c r="Q306" s="7"/>
      <c r="R306" s="7"/>
    </row>
    <row r="307" spans="2:20" ht="15.75">
      <c r="C307" s="8"/>
      <c r="D307" s="8"/>
      <c r="E307" s="8"/>
      <c r="F307" s="8"/>
      <c r="G307" s="8"/>
      <c r="H307" s="8"/>
      <c r="I307" s="40"/>
      <c r="J307" s="9" t="s">
        <v>31</v>
      </c>
      <c r="K307" s="8"/>
      <c r="L307" s="8"/>
      <c r="M307" s="8"/>
      <c r="N307" s="8"/>
      <c r="O307" s="8"/>
      <c r="P307" s="8"/>
      <c r="Q307" s="7"/>
      <c r="R307" s="7"/>
    </row>
    <row r="308" spans="2:20">
      <c r="H308" s="13"/>
      <c r="I308" s="13"/>
      <c r="J308" s="13"/>
      <c r="K308" s="7"/>
      <c r="L308" s="7"/>
      <c r="M308" s="7"/>
      <c r="N308" s="7"/>
      <c r="O308" s="14"/>
      <c r="P308" s="14"/>
      <c r="Q308" s="7"/>
      <c r="R308" s="7"/>
    </row>
    <row r="309" spans="2:20">
      <c r="H309" s="13"/>
      <c r="I309" s="13"/>
      <c r="J309" s="13"/>
      <c r="K309" s="7"/>
      <c r="L309" s="7"/>
      <c r="M309" s="7"/>
      <c r="N309" s="7"/>
      <c r="O309" s="14"/>
      <c r="P309" s="14"/>
      <c r="Q309" s="7"/>
      <c r="R309" s="7"/>
    </row>
    <row r="310" spans="2:20" ht="18.75">
      <c r="B310" s="41" t="s">
        <v>48</v>
      </c>
      <c r="C310" s="23"/>
      <c r="D310" s="23"/>
      <c r="E310" s="13"/>
      <c r="F310" s="13"/>
      <c r="G310" s="13"/>
      <c r="H310" s="13"/>
      <c r="I310" s="13"/>
      <c r="J310" s="13"/>
      <c r="K310" s="23"/>
      <c r="L310" s="23"/>
      <c r="M310" s="23"/>
      <c r="N310" s="23"/>
      <c r="O310" s="14"/>
      <c r="P310" s="15"/>
      <c r="Q310" s="7"/>
      <c r="R310" s="7"/>
    </row>
    <row r="311" spans="2:20">
      <c r="B311" s="23"/>
      <c r="C311" s="23"/>
      <c r="D311" s="23"/>
      <c r="E311" s="13"/>
      <c r="F311" s="13"/>
      <c r="G311" s="13"/>
      <c r="H311" s="13"/>
      <c r="I311" s="13"/>
      <c r="J311" s="13"/>
      <c r="K311" s="23"/>
      <c r="L311" s="23"/>
      <c r="M311" s="23"/>
      <c r="N311" s="23"/>
      <c r="O311" s="14"/>
      <c r="P311" s="15"/>
      <c r="Q311" s="7"/>
      <c r="R311" s="7"/>
    </row>
    <row r="312" spans="2:20" ht="15.75">
      <c r="B312" s="23"/>
      <c r="C312" s="42" t="s">
        <v>6</v>
      </c>
      <c r="D312" s="23"/>
      <c r="E312" s="13"/>
      <c r="F312" s="13"/>
      <c r="G312" s="13"/>
      <c r="H312" s="13"/>
      <c r="I312" s="13"/>
      <c r="J312" s="13"/>
      <c r="K312" s="23"/>
      <c r="L312" s="23"/>
      <c r="M312" s="23"/>
      <c r="N312" s="23"/>
      <c r="O312" s="14"/>
      <c r="P312" s="15"/>
      <c r="Q312" s="7"/>
      <c r="R312" s="7"/>
    </row>
    <row r="313" spans="2:20" ht="15.75">
      <c r="B313" s="23"/>
      <c r="C313" s="42"/>
      <c r="D313" s="17" t="s">
        <v>45</v>
      </c>
      <c r="E313" s="19" t="s">
        <v>2</v>
      </c>
      <c r="F313" s="19" t="s">
        <v>3</v>
      </c>
      <c r="G313" s="19" t="s">
        <v>4</v>
      </c>
      <c r="H313" s="19" t="s">
        <v>5</v>
      </c>
      <c r="I313" s="19" t="s">
        <v>46</v>
      </c>
      <c r="J313" s="18" t="s">
        <v>47</v>
      </c>
      <c r="K313" s="18" t="s">
        <v>42</v>
      </c>
      <c r="L313" s="18" t="s">
        <v>43</v>
      </c>
      <c r="M313" s="18" t="s">
        <v>44</v>
      </c>
      <c r="N313" s="18" t="s">
        <v>54</v>
      </c>
      <c r="O313" s="18" t="s">
        <v>55</v>
      </c>
      <c r="P313" s="20" t="s">
        <v>49</v>
      </c>
      <c r="Q313" s="21" t="s">
        <v>50</v>
      </c>
      <c r="R313" s="7"/>
      <c r="T313" s="7"/>
    </row>
    <row r="314" spans="2:20">
      <c r="B314" s="23"/>
      <c r="C314" s="23"/>
      <c r="D314" s="23" t="s">
        <v>7</v>
      </c>
      <c r="E314" s="13">
        <f>134</f>
        <v>134</v>
      </c>
      <c r="F314" s="13">
        <v>112</v>
      </c>
      <c r="G314" s="13">
        <v>96</v>
      </c>
      <c r="H314" s="13">
        <v>94</v>
      </c>
      <c r="I314" s="13">
        <v>111</v>
      </c>
      <c r="J314" s="13">
        <v>104</v>
      </c>
      <c r="K314" s="13">
        <v>102</v>
      </c>
      <c r="L314" s="13">
        <v>84</v>
      </c>
      <c r="M314" s="13">
        <v>79</v>
      </c>
      <c r="N314" s="13">
        <v>73</v>
      </c>
      <c r="O314" s="13">
        <v>69</v>
      </c>
      <c r="P314" s="22">
        <f>O314-N314</f>
        <v>-4</v>
      </c>
      <c r="Q314" s="15">
        <f>IF(O314&lt;&gt;0,P314/O314,"           -")</f>
        <v>-5.7971014492753624E-2</v>
      </c>
      <c r="R314" s="7"/>
      <c r="T314" s="7"/>
    </row>
    <row r="315" spans="2:20">
      <c r="B315" s="23"/>
      <c r="C315" s="23"/>
      <c r="D315" s="23"/>
      <c r="E315" s="13"/>
      <c r="F315" s="13"/>
      <c r="G315" s="13"/>
      <c r="H315" s="13"/>
      <c r="I315" s="13"/>
      <c r="J315" s="23"/>
      <c r="K315" s="23"/>
      <c r="L315" s="23"/>
      <c r="M315" s="23"/>
      <c r="N315" s="23"/>
      <c r="O315" s="23"/>
      <c r="P315" s="22"/>
      <c r="Q315" s="15"/>
      <c r="R315" s="7"/>
      <c r="T315" s="7"/>
    </row>
    <row r="316" spans="2:20">
      <c r="B316" s="23"/>
      <c r="C316" s="23"/>
      <c r="D316" s="23" t="s">
        <v>8</v>
      </c>
      <c r="E316" s="13">
        <f>3</f>
        <v>3</v>
      </c>
      <c r="F316" s="13">
        <v>3</v>
      </c>
      <c r="G316" s="13">
        <v>3</v>
      </c>
      <c r="H316" s="13">
        <v>2</v>
      </c>
      <c r="I316" s="13">
        <v>1</v>
      </c>
      <c r="J316" s="23">
        <v>1</v>
      </c>
      <c r="K316" s="23">
        <v>2</v>
      </c>
      <c r="L316" s="23">
        <v>1</v>
      </c>
      <c r="M316" s="23">
        <v>1</v>
      </c>
      <c r="N316" s="23">
        <v>0</v>
      </c>
      <c r="O316" s="23">
        <v>1</v>
      </c>
      <c r="P316" s="22">
        <f t="shared" ref="P316:P319" si="65">O316-N316</f>
        <v>1</v>
      </c>
      <c r="Q316" s="15">
        <f t="shared" ref="Q316:Q319" si="66">IF(O316&lt;&gt;0,P316/O316,"           -")</f>
        <v>1</v>
      </c>
      <c r="R316" s="7"/>
      <c r="T316" s="7"/>
    </row>
    <row r="317" spans="2:20">
      <c r="B317" s="23"/>
      <c r="C317" s="23"/>
      <c r="D317" s="23" t="s">
        <v>9</v>
      </c>
      <c r="E317" s="13">
        <f>73</f>
        <v>73</v>
      </c>
      <c r="F317" s="13">
        <v>58</v>
      </c>
      <c r="G317" s="13">
        <v>54</v>
      </c>
      <c r="H317" s="13">
        <v>52</v>
      </c>
      <c r="I317" s="13">
        <v>65</v>
      </c>
      <c r="J317" s="23">
        <v>59</v>
      </c>
      <c r="K317" s="23">
        <v>58</v>
      </c>
      <c r="L317" s="23">
        <v>48</v>
      </c>
      <c r="M317" s="23">
        <v>45</v>
      </c>
      <c r="N317" s="23">
        <v>43</v>
      </c>
      <c r="O317" s="23">
        <v>38</v>
      </c>
      <c r="P317" s="22">
        <f t="shared" si="65"/>
        <v>-5</v>
      </c>
      <c r="Q317" s="15">
        <f t="shared" si="66"/>
        <v>-0.13157894736842105</v>
      </c>
      <c r="R317" s="7"/>
      <c r="T317" s="7"/>
    </row>
    <row r="318" spans="2:20">
      <c r="B318" s="23"/>
      <c r="C318" s="23"/>
      <c r="D318" s="23" t="s">
        <v>10</v>
      </c>
      <c r="E318" s="13">
        <f>25 + 7</f>
        <v>32</v>
      </c>
      <c r="F318" s="13">
        <f>25 + 4</f>
        <v>29</v>
      </c>
      <c r="G318" s="13">
        <f>20+1</f>
        <v>21</v>
      </c>
      <c r="H318" s="13">
        <f>17+3</f>
        <v>20</v>
      </c>
      <c r="I318" s="13">
        <v>25</v>
      </c>
      <c r="J318" s="23">
        <v>26</v>
      </c>
      <c r="K318" s="23">
        <v>22</v>
      </c>
      <c r="L318" s="23">
        <v>19</v>
      </c>
      <c r="M318" s="23">
        <v>18</v>
      </c>
      <c r="N318" s="23">
        <v>18</v>
      </c>
      <c r="O318" s="23">
        <v>17</v>
      </c>
      <c r="P318" s="22">
        <f t="shared" si="65"/>
        <v>-1</v>
      </c>
      <c r="Q318" s="15">
        <f t="shared" si="66"/>
        <v>-5.8823529411764705E-2</v>
      </c>
      <c r="R318" s="7"/>
      <c r="T318" s="7"/>
    </row>
    <row r="319" spans="2:20">
      <c r="B319" s="23"/>
      <c r="C319" s="23"/>
      <c r="D319" s="23" t="s">
        <v>11</v>
      </c>
      <c r="E319" s="13">
        <f>26</f>
        <v>26</v>
      </c>
      <c r="F319" s="13">
        <f>22</f>
        <v>22</v>
      </c>
      <c r="G319" s="13">
        <v>18</v>
      </c>
      <c r="H319" s="13">
        <v>20</v>
      </c>
      <c r="I319" s="13">
        <v>20</v>
      </c>
      <c r="J319" s="23">
        <v>18</v>
      </c>
      <c r="K319" s="23">
        <v>20</v>
      </c>
      <c r="L319" s="23">
        <v>16</v>
      </c>
      <c r="M319" s="23">
        <v>15</v>
      </c>
      <c r="N319" s="23">
        <v>12</v>
      </c>
      <c r="O319" s="23">
        <v>13</v>
      </c>
      <c r="P319" s="22">
        <f t="shared" si="65"/>
        <v>1</v>
      </c>
      <c r="Q319" s="15">
        <f t="shared" si="66"/>
        <v>7.6923076923076927E-2</v>
      </c>
      <c r="R319" s="7"/>
      <c r="T319" s="7"/>
    </row>
    <row r="320" spans="2:20">
      <c r="B320" s="23"/>
      <c r="C320" s="23"/>
      <c r="D320" s="23"/>
      <c r="E320" s="13"/>
      <c r="F320" s="13"/>
      <c r="G320" s="13"/>
      <c r="H320" s="13"/>
      <c r="I320" s="13"/>
      <c r="J320" s="23"/>
      <c r="K320" s="23"/>
      <c r="L320" s="23"/>
      <c r="M320" s="23"/>
      <c r="N320" s="23"/>
      <c r="O320" s="23"/>
      <c r="P320" s="22"/>
      <c r="Q320" s="15"/>
      <c r="R320" s="7"/>
      <c r="T320" s="7"/>
    </row>
    <row r="321" spans="1:20">
      <c r="B321" s="23"/>
      <c r="C321" s="23"/>
      <c r="D321" s="23" t="s">
        <v>12</v>
      </c>
      <c r="E321" s="13">
        <f>81</f>
        <v>81</v>
      </c>
      <c r="F321" s="13">
        <f>79</f>
        <v>79</v>
      </c>
      <c r="G321" s="13">
        <v>68</v>
      </c>
      <c r="H321" s="13">
        <v>63</v>
      </c>
      <c r="I321" s="13">
        <v>68</v>
      </c>
      <c r="J321" s="77">
        <v>68</v>
      </c>
      <c r="K321" s="77">
        <v>68</v>
      </c>
      <c r="L321" s="77">
        <v>57</v>
      </c>
      <c r="M321" s="77">
        <v>52</v>
      </c>
      <c r="N321" s="77">
        <v>49</v>
      </c>
      <c r="O321" s="77">
        <v>46</v>
      </c>
      <c r="P321" s="22">
        <f t="shared" ref="P321:P322" si="67">O321-N321</f>
        <v>-3</v>
      </c>
      <c r="Q321" s="15">
        <f t="shared" ref="Q321:Q322" si="68">IF(O321&lt;&gt;0,P321/O321,"           -")</f>
        <v>-6.5217391304347824E-2</v>
      </c>
      <c r="R321" s="7"/>
      <c r="T321" s="7"/>
    </row>
    <row r="322" spans="1:20">
      <c r="B322" s="23"/>
      <c r="C322" s="23"/>
      <c r="D322" s="23" t="s">
        <v>13</v>
      </c>
      <c r="E322" s="13">
        <f>53</f>
        <v>53</v>
      </c>
      <c r="F322" s="13">
        <f>33</f>
        <v>33</v>
      </c>
      <c r="G322" s="13">
        <v>28</v>
      </c>
      <c r="H322" s="13">
        <v>31</v>
      </c>
      <c r="I322" s="13">
        <v>43</v>
      </c>
      <c r="J322" s="23">
        <v>36</v>
      </c>
      <c r="K322" s="23">
        <v>34</v>
      </c>
      <c r="L322" s="23">
        <v>27</v>
      </c>
      <c r="M322" s="23">
        <v>27</v>
      </c>
      <c r="N322" s="23">
        <v>24</v>
      </c>
      <c r="O322" s="23">
        <v>23</v>
      </c>
      <c r="P322" s="22">
        <f t="shared" si="67"/>
        <v>-1</v>
      </c>
      <c r="Q322" s="15">
        <f t="shared" si="68"/>
        <v>-4.3478260869565216E-2</v>
      </c>
      <c r="R322" s="7"/>
      <c r="T322" s="7"/>
    </row>
    <row r="323" spans="1:20">
      <c r="B323" s="23"/>
      <c r="C323" s="23"/>
      <c r="D323" s="23"/>
      <c r="E323" s="13"/>
      <c r="F323" s="13"/>
      <c r="G323" s="13"/>
      <c r="H323" s="13"/>
      <c r="I323" s="13"/>
      <c r="J323" s="23"/>
      <c r="K323" s="23"/>
      <c r="L323" s="23"/>
      <c r="M323" s="23"/>
      <c r="N323" s="23"/>
      <c r="O323" s="23"/>
      <c r="P323" s="22"/>
      <c r="Q323" s="15"/>
      <c r="R323" s="7"/>
      <c r="T323" s="7"/>
    </row>
    <row r="324" spans="1:20">
      <c r="B324" s="23"/>
      <c r="C324" s="23"/>
      <c r="D324" s="23" t="s">
        <v>14</v>
      </c>
      <c r="E324" s="13">
        <f>94</f>
        <v>94</v>
      </c>
      <c r="F324" s="13">
        <f>87</f>
        <v>87</v>
      </c>
      <c r="G324" s="13">
        <v>73</v>
      </c>
      <c r="H324" s="13">
        <v>70</v>
      </c>
      <c r="I324" s="13">
        <v>76</v>
      </c>
      <c r="J324" s="77">
        <v>73</v>
      </c>
      <c r="K324" s="77">
        <v>71</v>
      </c>
      <c r="L324" s="77">
        <v>61</v>
      </c>
      <c r="M324" s="77">
        <v>56</v>
      </c>
      <c r="N324" s="77">
        <v>52</v>
      </c>
      <c r="O324" s="77">
        <v>49</v>
      </c>
      <c r="P324" s="22">
        <f t="shared" ref="P324:P325" si="69">O324-N324</f>
        <v>-3</v>
      </c>
      <c r="Q324" s="15">
        <f t="shared" ref="Q324:Q325" si="70">IF(O324&lt;&gt;0,P324/O324,"           -")</f>
        <v>-6.1224489795918366E-2</v>
      </c>
      <c r="R324" s="7"/>
      <c r="T324" s="7"/>
    </row>
    <row r="325" spans="1:20">
      <c r="B325" s="23"/>
      <c r="C325" s="23"/>
      <c r="D325" s="23" t="s">
        <v>15</v>
      </c>
      <c r="E325" s="13">
        <f>40</f>
        <v>40</v>
      </c>
      <c r="F325" s="13">
        <f>25</f>
        <v>25</v>
      </c>
      <c r="G325" s="13">
        <v>23</v>
      </c>
      <c r="H325" s="13">
        <v>24</v>
      </c>
      <c r="I325" s="13">
        <v>35</v>
      </c>
      <c r="J325" s="23">
        <v>31</v>
      </c>
      <c r="K325" s="23">
        <v>31</v>
      </c>
      <c r="L325" s="23">
        <v>23</v>
      </c>
      <c r="M325" s="23">
        <v>23</v>
      </c>
      <c r="N325" s="23">
        <v>21</v>
      </c>
      <c r="O325" s="23">
        <v>20</v>
      </c>
      <c r="P325" s="22">
        <f t="shared" si="69"/>
        <v>-1</v>
      </c>
      <c r="Q325" s="15">
        <f t="shared" si="70"/>
        <v>-0.05</v>
      </c>
      <c r="R325" s="7"/>
      <c r="T325" s="7"/>
    </row>
    <row r="326" spans="1:20">
      <c r="B326" s="23"/>
      <c r="C326" s="23"/>
      <c r="D326" s="23"/>
      <c r="E326" s="13"/>
      <c r="F326" s="13"/>
      <c r="G326" s="13"/>
      <c r="H326" s="13"/>
      <c r="I326" s="13"/>
      <c r="J326" s="13"/>
      <c r="K326" s="23"/>
      <c r="L326" s="23"/>
      <c r="M326" s="23"/>
      <c r="N326" s="23"/>
      <c r="O326" s="22"/>
      <c r="P326" s="15"/>
      <c r="Q326" s="7"/>
      <c r="R326" s="7"/>
    </row>
    <row r="327" spans="1:20" ht="15.75">
      <c r="B327" s="23"/>
      <c r="C327" s="42" t="s">
        <v>16</v>
      </c>
      <c r="D327" s="23"/>
      <c r="E327" s="13"/>
      <c r="F327" s="13"/>
      <c r="G327" s="13"/>
      <c r="H327" s="13"/>
      <c r="I327" s="13"/>
      <c r="J327" s="13"/>
      <c r="K327" s="23"/>
      <c r="L327" s="23"/>
      <c r="M327" s="23"/>
      <c r="N327" s="23"/>
      <c r="O327" s="22"/>
      <c r="P327" s="15"/>
      <c r="Q327" s="7"/>
      <c r="R327" s="7"/>
    </row>
    <row r="328" spans="1:20" ht="15.75">
      <c r="B328" s="23"/>
      <c r="C328" s="42"/>
      <c r="D328" s="17" t="s">
        <v>45</v>
      </c>
      <c r="E328" s="19" t="s">
        <v>2</v>
      </c>
      <c r="F328" s="19" t="s">
        <v>3</v>
      </c>
      <c r="G328" s="19" t="s">
        <v>4</v>
      </c>
      <c r="H328" s="19" t="s">
        <v>5</v>
      </c>
      <c r="I328" s="19" t="s">
        <v>46</v>
      </c>
      <c r="J328" s="18" t="s">
        <v>47</v>
      </c>
      <c r="K328" s="18" t="s">
        <v>42</v>
      </c>
      <c r="L328" s="18" t="s">
        <v>43</v>
      </c>
      <c r="M328" s="18" t="s">
        <v>44</v>
      </c>
      <c r="N328" s="18" t="s">
        <v>54</v>
      </c>
      <c r="O328" s="18" t="s">
        <v>55</v>
      </c>
      <c r="P328" s="20" t="s">
        <v>49</v>
      </c>
      <c r="Q328" s="21" t="s">
        <v>50</v>
      </c>
      <c r="R328" s="7"/>
      <c r="T328" s="7"/>
    </row>
    <row r="329" spans="1:20">
      <c r="B329" s="23"/>
      <c r="C329" s="23"/>
      <c r="D329" s="24" t="s">
        <v>8</v>
      </c>
      <c r="E329" s="13">
        <f>3</f>
        <v>3</v>
      </c>
      <c r="F329" s="13">
        <f>3</f>
        <v>3</v>
      </c>
      <c r="G329" s="13">
        <v>3</v>
      </c>
      <c r="H329" s="13">
        <v>2</v>
      </c>
      <c r="I329" s="13">
        <v>1</v>
      </c>
      <c r="J329" s="23">
        <v>1</v>
      </c>
      <c r="K329" s="23">
        <v>2</v>
      </c>
      <c r="L329" s="23">
        <v>1</v>
      </c>
      <c r="M329" s="23">
        <v>1</v>
      </c>
      <c r="N329" s="23">
        <v>0</v>
      </c>
      <c r="O329" s="23">
        <v>1</v>
      </c>
      <c r="P329" s="22">
        <f t="shared" ref="P329:P333" si="71">O329-N329</f>
        <v>1</v>
      </c>
      <c r="Q329" s="15">
        <f t="shared" ref="Q329:Q333" si="72">IF(O329&lt;&gt;0,P329/O329,"           -")</f>
        <v>1</v>
      </c>
      <c r="R329" s="23"/>
      <c r="T329" s="7"/>
    </row>
    <row r="330" spans="1:20">
      <c r="B330" s="23"/>
      <c r="C330" s="23"/>
      <c r="D330" s="24" t="s">
        <v>9</v>
      </c>
      <c r="E330" s="13">
        <f>32</f>
        <v>32</v>
      </c>
      <c r="F330" s="13">
        <f>31</f>
        <v>31</v>
      </c>
      <c r="G330" s="13">
        <v>30</v>
      </c>
      <c r="H330" s="13">
        <v>28</v>
      </c>
      <c r="I330" s="13">
        <v>30</v>
      </c>
      <c r="J330" s="23">
        <v>28</v>
      </c>
      <c r="K330" s="23">
        <v>27</v>
      </c>
      <c r="L330" s="23">
        <v>25</v>
      </c>
      <c r="M330" s="23">
        <v>22</v>
      </c>
      <c r="N330" s="23">
        <v>22</v>
      </c>
      <c r="O330" s="23">
        <v>17</v>
      </c>
      <c r="P330" s="22">
        <f t="shared" si="71"/>
        <v>-5</v>
      </c>
      <c r="Q330" s="15">
        <f t="shared" si="72"/>
        <v>-0.29411764705882354</v>
      </c>
      <c r="R330" s="23"/>
      <c r="T330" s="7"/>
    </row>
    <row r="331" spans="1:20">
      <c r="A331" s="65"/>
      <c r="B331" s="23"/>
      <c r="C331" s="23"/>
      <c r="D331" s="24" t="s">
        <v>10</v>
      </c>
      <c r="E331" s="13">
        <f>19 + 7</f>
        <v>26</v>
      </c>
      <c r="F331" s="13">
        <f>21 + 4</f>
        <v>25</v>
      </c>
      <c r="G331" s="13">
        <f>16+1</f>
        <v>17</v>
      </c>
      <c r="H331" s="13">
        <f>13+3</f>
        <v>16</v>
      </c>
      <c r="I331" s="13">
        <v>19</v>
      </c>
      <c r="J331" s="23">
        <v>21</v>
      </c>
      <c r="K331" s="23">
        <v>19</v>
      </c>
      <c r="L331" s="23">
        <v>16</v>
      </c>
      <c r="M331" s="23">
        <v>16</v>
      </c>
      <c r="N331" s="23">
        <v>17</v>
      </c>
      <c r="O331" s="23">
        <v>16</v>
      </c>
      <c r="P331" s="22">
        <f t="shared" si="71"/>
        <v>-1</v>
      </c>
      <c r="Q331" s="15">
        <f t="shared" si="72"/>
        <v>-6.25E-2</v>
      </c>
      <c r="R331" s="23"/>
      <c r="T331" s="7"/>
    </row>
    <row r="332" spans="1:20">
      <c r="B332" s="23"/>
      <c r="C332" s="23"/>
      <c r="D332" s="24" t="s">
        <v>11</v>
      </c>
      <c r="E332" s="13">
        <f>20</f>
        <v>20</v>
      </c>
      <c r="F332" s="13">
        <f>20</f>
        <v>20</v>
      </c>
      <c r="G332" s="13">
        <v>18</v>
      </c>
      <c r="H332" s="13">
        <v>17</v>
      </c>
      <c r="I332" s="13">
        <v>18</v>
      </c>
      <c r="J332" s="23">
        <v>18</v>
      </c>
      <c r="K332" s="23">
        <v>20</v>
      </c>
      <c r="L332" s="23">
        <v>15</v>
      </c>
      <c r="M332" s="23">
        <v>13</v>
      </c>
      <c r="N332" s="23">
        <v>10</v>
      </c>
      <c r="O332" s="23">
        <v>12</v>
      </c>
      <c r="P332" s="22">
        <f t="shared" si="71"/>
        <v>2</v>
      </c>
      <c r="Q332" s="15">
        <f t="shared" si="72"/>
        <v>0.16666666666666666</v>
      </c>
      <c r="R332" s="23"/>
      <c r="T332" s="7"/>
    </row>
    <row r="333" spans="1:20">
      <c r="B333" s="23"/>
      <c r="C333" s="23"/>
      <c r="D333" s="24" t="s">
        <v>7</v>
      </c>
      <c r="E333" s="13">
        <f t="shared" ref="E333:H333" si="73">SUM(E329:E332)</f>
        <v>81</v>
      </c>
      <c r="F333" s="13">
        <f t="shared" si="73"/>
        <v>79</v>
      </c>
      <c r="G333" s="13">
        <f t="shared" si="73"/>
        <v>68</v>
      </c>
      <c r="H333" s="13">
        <f t="shared" si="73"/>
        <v>63</v>
      </c>
      <c r="I333" s="13">
        <v>68</v>
      </c>
      <c r="J333" s="13">
        <v>68</v>
      </c>
      <c r="K333" s="13">
        <v>68</v>
      </c>
      <c r="L333" s="13">
        <v>57</v>
      </c>
      <c r="M333" s="13">
        <v>52</v>
      </c>
      <c r="N333" s="13">
        <v>49</v>
      </c>
      <c r="O333" s="13">
        <f>SUBTOTAL(109,O329:O332)</f>
        <v>46</v>
      </c>
      <c r="P333" s="22">
        <f t="shared" si="71"/>
        <v>-3</v>
      </c>
      <c r="Q333" s="15">
        <f t="shared" si="72"/>
        <v>-6.5217391304347824E-2</v>
      </c>
      <c r="R333" s="23"/>
      <c r="T333" s="7"/>
    </row>
    <row r="334" spans="1:20">
      <c r="B334" s="23"/>
      <c r="C334" s="23"/>
      <c r="D334" s="23"/>
      <c r="E334" s="13"/>
      <c r="F334" s="13"/>
      <c r="G334" s="13"/>
      <c r="H334" s="13"/>
      <c r="I334" s="13"/>
      <c r="J334" s="13"/>
      <c r="K334" s="23"/>
      <c r="L334" s="23"/>
      <c r="M334" s="23"/>
      <c r="N334" s="23"/>
      <c r="O334" s="22"/>
      <c r="P334" s="15"/>
      <c r="Q334" s="23"/>
      <c r="R334" s="7"/>
    </row>
    <row r="335" spans="1:20" ht="18.75">
      <c r="B335" s="41" t="s">
        <v>51</v>
      </c>
      <c r="C335" s="23"/>
      <c r="D335" s="23"/>
      <c r="E335" s="13"/>
      <c r="F335" s="13"/>
      <c r="G335" s="13"/>
      <c r="H335" s="13"/>
      <c r="I335" s="13"/>
      <c r="J335" s="13"/>
      <c r="K335" s="23"/>
      <c r="L335" s="23"/>
      <c r="M335" s="23"/>
      <c r="N335" s="23"/>
      <c r="O335" s="22"/>
      <c r="P335" s="15"/>
      <c r="Q335" s="23"/>
      <c r="R335" s="7"/>
    </row>
    <row r="336" spans="1:20">
      <c r="B336" s="23"/>
      <c r="C336" s="23"/>
      <c r="D336" s="23"/>
      <c r="E336" s="13"/>
      <c r="F336" s="13"/>
      <c r="G336" s="13"/>
      <c r="H336" s="13"/>
      <c r="I336" s="13"/>
      <c r="J336" s="13"/>
      <c r="K336" s="23"/>
      <c r="L336" s="23"/>
      <c r="M336" s="23"/>
      <c r="N336" s="23"/>
      <c r="O336" s="22"/>
      <c r="P336" s="15"/>
      <c r="Q336" s="23"/>
      <c r="R336" s="7"/>
    </row>
    <row r="337" spans="2:20" ht="18.75">
      <c r="B337" s="23"/>
      <c r="C337" s="42" t="s">
        <v>52</v>
      </c>
      <c r="D337" s="23"/>
      <c r="E337" s="13"/>
      <c r="F337" s="13"/>
      <c r="G337" s="13"/>
      <c r="H337" s="13"/>
      <c r="I337" s="13"/>
      <c r="J337" s="13"/>
      <c r="K337" s="23"/>
      <c r="L337" s="23"/>
      <c r="M337" s="23"/>
      <c r="N337" s="23"/>
      <c r="O337" s="22"/>
      <c r="P337" s="15"/>
      <c r="Q337" s="23"/>
      <c r="R337" s="7"/>
    </row>
    <row r="338" spans="2:20" ht="15.75">
      <c r="B338" s="23"/>
      <c r="C338" s="42"/>
      <c r="D338" s="17" t="s">
        <v>45</v>
      </c>
      <c r="E338" s="19" t="s">
        <v>2</v>
      </c>
      <c r="F338" s="19" t="s">
        <v>3</v>
      </c>
      <c r="G338" s="19" t="s">
        <v>4</v>
      </c>
      <c r="H338" s="19" t="s">
        <v>5</v>
      </c>
      <c r="I338" s="19" t="s">
        <v>46</v>
      </c>
      <c r="J338" s="18" t="s">
        <v>47</v>
      </c>
      <c r="K338" s="18" t="s">
        <v>42</v>
      </c>
      <c r="L338" s="18" t="s">
        <v>43</v>
      </c>
      <c r="M338" s="18" t="s">
        <v>44</v>
      </c>
      <c r="N338" s="18" t="s">
        <v>54</v>
      </c>
      <c r="O338" s="18" t="s">
        <v>55</v>
      </c>
      <c r="P338" s="20" t="s">
        <v>49</v>
      </c>
      <c r="Q338" s="21" t="s">
        <v>50</v>
      </c>
      <c r="R338" s="23"/>
      <c r="T338" s="7"/>
    </row>
    <row r="339" spans="2:20">
      <c r="B339" s="23"/>
      <c r="C339" s="23"/>
      <c r="D339" s="23" t="s">
        <v>8</v>
      </c>
      <c r="E339" s="25">
        <f>3</f>
        <v>3</v>
      </c>
      <c r="F339" s="25">
        <f>3</f>
        <v>3</v>
      </c>
      <c r="G339" s="25">
        <v>3</v>
      </c>
      <c r="H339" s="25">
        <v>2</v>
      </c>
      <c r="I339" s="25">
        <v>1</v>
      </c>
      <c r="J339" s="45">
        <v>1</v>
      </c>
      <c r="K339" s="45">
        <v>2</v>
      </c>
      <c r="L339" s="45">
        <v>1</v>
      </c>
      <c r="M339" s="45">
        <v>1</v>
      </c>
      <c r="N339" s="45">
        <v>0</v>
      </c>
      <c r="O339" s="45">
        <v>1</v>
      </c>
      <c r="P339" s="22">
        <f t="shared" ref="P339:P343" si="74">O339-N339</f>
        <v>1</v>
      </c>
      <c r="Q339" s="15">
        <f>IF(O339&lt;&gt;0,P339/O339,"           -")</f>
        <v>1</v>
      </c>
      <c r="R339" s="23"/>
      <c r="T339" s="7"/>
    </row>
    <row r="340" spans="2:20">
      <c r="B340" s="23"/>
      <c r="C340" s="23"/>
      <c r="D340" s="23" t="s">
        <v>9</v>
      </c>
      <c r="E340" s="25">
        <f>41.06 + 0.32</f>
        <v>41.38</v>
      </c>
      <c r="F340" s="25">
        <f>38.45</f>
        <v>38.450000000000003</v>
      </c>
      <c r="G340" s="25">
        <v>35.840000000000003</v>
      </c>
      <c r="H340" s="25">
        <v>34</v>
      </c>
      <c r="I340" s="25">
        <v>39</v>
      </c>
      <c r="J340" s="26">
        <v>37</v>
      </c>
      <c r="K340" s="45">
        <v>35</v>
      </c>
      <c r="L340" s="45">
        <v>32</v>
      </c>
      <c r="M340" s="45">
        <v>30</v>
      </c>
      <c r="N340" s="45">
        <v>28</v>
      </c>
      <c r="O340" s="45">
        <v>23</v>
      </c>
      <c r="P340" s="22">
        <f t="shared" si="74"/>
        <v>-5</v>
      </c>
      <c r="Q340" s="15">
        <f>IF(O340&lt;&gt;0,P340/O340,"           -")</f>
        <v>-0.21739130434782608</v>
      </c>
      <c r="R340" s="23"/>
      <c r="T340" s="7"/>
    </row>
    <row r="341" spans="2:20">
      <c r="B341" s="23"/>
      <c r="C341" s="23"/>
      <c r="D341" s="23" t="s">
        <v>10</v>
      </c>
      <c r="E341" s="25">
        <f>18.75 + 6.5</f>
        <v>25.25</v>
      </c>
      <c r="F341" s="25">
        <f>21.25 + 4</f>
        <v>25.25</v>
      </c>
      <c r="G341" s="25">
        <f>15.91+1</f>
        <v>16.91</v>
      </c>
      <c r="H341" s="25">
        <v>18</v>
      </c>
      <c r="I341" s="25">
        <v>21</v>
      </c>
      <c r="J341" s="26">
        <v>22</v>
      </c>
      <c r="K341" s="45">
        <v>19</v>
      </c>
      <c r="L341" s="45">
        <v>17</v>
      </c>
      <c r="M341" s="45">
        <v>16</v>
      </c>
      <c r="N341" s="45">
        <v>17</v>
      </c>
      <c r="O341" s="45">
        <v>16</v>
      </c>
      <c r="P341" s="22">
        <f t="shared" si="74"/>
        <v>-1</v>
      </c>
      <c r="Q341" s="15">
        <f>IF(O341&lt;&gt;0,P341/O341,"           -")</f>
        <v>-6.25E-2</v>
      </c>
      <c r="R341" s="23"/>
      <c r="T341" s="7"/>
    </row>
    <row r="342" spans="2:20">
      <c r="B342" s="23"/>
      <c r="C342" s="23"/>
      <c r="D342" s="23" t="s">
        <v>11</v>
      </c>
      <c r="E342" s="25">
        <f>19.13</f>
        <v>19.13</v>
      </c>
      <c r="F342" s="25">
        <f>17.18</f>
        <v>17.18</v>
      </c>
      <c r="G342" s="25">
        <v>14.31</v>
      </c>
      <c r="H342" s="25">
        <v>15</v>
      </c>
      <c r="I342" s="25">
        <v>15</v>
      </c>
      <c r="J342" s="26">
        <v>13</v>
      </c>
      <c r="K342" s="45">
        <v>16</v>
      </c>
      <c r="L342" s="45">
        <v>14</v>
      </c>
      <c r="M342" s="45">
        <v>12</v>
      </c>
      <c r="N342" s="45">
        <v>10</v>
      </c>
      <c r="O342" s="45">
        <v>10</v>
      </c>
      <c r="P342" s="22">
        <f t="shared" si="74"/>
        <v>0</v>
      </c>
      <c r="Q342" s="15">
        <f>IF(O342&lt;&gt;0,P342/O342,"           -")</f>
        <v>0</v>
      </c>
      <c r="R342" s="23"/>
      <c r="T342" s="7"/>
    </row>
    <row r="343" spans="2:20">
      <c r="B343" s="23"/>
      <c r="C343" s="23"/>
      <c r="D343" s="23" t="s">
        <v>7</v>
      </c>
      <c r="E343" s="13">
        <f t="shared" ref="E343:H343" si="75">SUM(E339:E342)</f>
        <v>88.759999999999991</v>
      </c>
      <c r="F343" s="13">
        <f t="shared" si="75"/>
        <v>83.88</v>
      </c>
      <c r="G343" s="13">
        <f t="shared" si="75"/>
        <v>70.06</v>
      </c>
      <c r="H343" s="13">
        <f t="shared" si="75"/>
        <v>69</v>
      </c>
      <c r="I343" s="13">
        <v>76</v>
      </c>
      <c r="J343" s="13">
        <v>73</v>
      </c>
      <c r="K343" s="13">
        <v>72</v>
      </c>
      <c r="L343" s="13">
        <v>64</v>
      </c>
      <c r="M343" s="13">
        <v>59</v>
      </c>
      <c r="N343" s="13">
        <v>55</v>
      </c>
      <c r="O343" s="13">
        <f>SUBTOTAL(109,O339:O342)</f>
        <v>50</v>
      </c>
      <c r="P343" s="22">
        <f t="shared" si="74"/>
        <v>-5</v>
      </c>
      <c r="Q343" s="15">
        <f>IF(O343&lt;&gt;0,P343/O343,"           -")</f>
        <v>-0.1</v>
      </c>
      <c r="R343" s="23"/>
      <c r="T343" s="7"/>
    </row>
    <row r="344" spans="2:20">
      <c r="B344" s="23"/>
      <c r="C344" s="23"/>
      <c r="D344" s="23"/>
      <c r="E344" s="13"/>
      <c r="F344" s="25"/>
      <c r="G344" s="25"/>
      <c r="H344" s="25"/>
      <c r="I344" s="25"/>
      <c r="J344" s="25"/>
      <c r="K344" s="39"/>
      <c r="L344" s="39"/>
      <c r="M344" s="39"/>
      <c r="N344" s="39"/>
      <c r="O344" s="22"/>
      <c r="P344" s="15"/>
      <c r="Q344" s="23"/>
      <c r="R344" s="7"/>
    </row>
    <row r="345" spans="2:20" ht="18.75">
      <c r="B345" s="23"/>
      <c r="C345" s="42" t="s">
        <v>53</v>
      </c>
      <c r="D345" s="23"/>
      <c r="E345" s="13"/>
      <c r="F345" s="25"/>
      <c r="G345" s="25"/>
      <c r="H345" s="25"/>
      <c r="I345" s="25"/>
      <c r="J345" s="25"/>
      <c r="K345" s="39"/>
      <c r="L345" s="39"/>
      <c r="M345" s="39"/>
      <c r="N345" s="39"/>
      <c r="O345" s="22"/>
      <c r="P345" s="15"/>
      <c r="Q345" s="23"/>
      <c r="R345" s="7"/>
    </row>
    <row r="346" spans="2:20" ht="15.75">
      <c r="B346" s="23"/>
      <c r="C346" s="42"/>
      <c r="D346" s="17" t="s">
        <v>45</v>
      </c>
      <c r="E346" s="19" t="s">
        <v>2</v>
      </c>
      <c r="F346" s="19" t="s">
        <v>3</v>
      </c>
      <c r="G346" s="19" t="s">
        <v>4</v>
      </c>
      <c r="H346" s="19" t="s">
        <v>5</v>
      </c>
      <c r="I346" s="19" t="s">
        <v>46</v>
      </c>
      <c r="J346" s="18" t="s">
        <v>47</v>
      </c>
      <c r="K346" s="18" t="s">
        <v>42</v>
      </c>
      <c r="L346" s="18" t="s">
        <v>43</v>
      </c>
      <c r="M346" s="18" t="s">
        <v>44</v>
      </c>
      <c r="N346" s="18" t="s">
        <v>54</v>
      </c>
      <c r="O346" s="18" t="s">
        <v>55</v>
      </c>
      <c r="P346" s="20" t="s">
        <v>49</v>
      </c>
      <c r="Q346" s="21" t="s">
        <v>50</v>
      </c>
      <c r="R346" s="23"/>
      <c r="T346" s="7"/>
    </row>
    <row r="347" spans="2:20">
      <c r="B347" s="23"/>
      <c r="C347" s="23"/>
      <c r="D347" s="23" t="s">
        <v>8</v>
      </c>
      <c r="E347" s="25">
        <f t="shared" ref="E347:G350" si="76">E355-E339</f>
        <v>0</v>
      </c>
      <c r="F347" s="25">
        <f t="shared" si="76"/>
        <v>0</v>
      </c>
      <c r="G347" s="25">
        <f t="shared" si="76"/>
        <v>0</v>
      </c>
      <c r="H347" s="25">
        <v>0</v>
      </c>
      <c r="I347" s="25">
        <v>0</v>
      </c>
      <c r="J347" s="29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22">
        <f t="shared" ref="P347:P351" si="77">O347-N347</f>
        <v>0</v>
      </c>
      <c r="Q347" s="15" t="str">
        <f t="shared" ref="Q347:Q351" si="78">IF(O347&lt;&gt;0,P347/O347,"           -")</f>
        <v xml:space="preserve">           -</v>
      </c>
      <c r="R347" s="23"/>
      <c r="T347" s="7"/>
    </row>
    <row r="348" spans="2:20">
      <c r="B348" s="23"/>
      <c r="C348" s="23"/>
      <c r="D348" s="23" t="s">
        <v>9</v>
      </c>
      <c r="E348" s="25">
        <f t="shared" si="76"/>
        <v>0.50999999999999801</v>
      </c>
      <c r="F348" s="25">
        <f t="shared" si="76"/>
        <v>0</v>
      </c>
      <c r="G348" s="25">
        <f t="shared" si="76"/>
        <v>0</v>
      </c>
      <c r="H348" s="25">
        <v>0</v>
      </c>
      <c r="I348" s="25">
        <v>0</v>
      </c>
      <c r="J348" s="29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22">
        <f t="shared" si="77"/>
        <v>0</v>
      </c>
      <c r="Q348" s="15" t="str">
        <f t="shared" si="78"/>
        <v xml:space="preserve">           -</v>
      </c>
      <c r="R348" s="23"/>
      <c r="T348" s="7"/>
    </row>
    <row r="349" spans="2:20">
      <c r="B349" s="23"/>
      <c r="C349" s="23"/>
      <c r="D349" s="23" t="s">
        <v>10</v>
      </c>
      <c r="E349" s="25">
        <f t="shared" si="76"/>
        <v>4.25</v>
      </c>
      <c r="F349" s="25">
        <f t="shared" si="76"/>
        <v>2</v>
      </c>
      <c r="G349" s="25">
        <f t="shared" si="76"/>
        <v>2.5</v>
      </c>
      <c r="H349" s="25">
        <v>2</v>
      </c>
      <c r="I349" s="25">
        <v>2</v>
      </c>
      <c r="J349" s="29">
        <v>2</v>
      </c>
      <c r="K349" s="46">
        <v>2</v>
      </c>
      <c r="L349" s="46">
        <v>1</v>
      </c>
      <c r="M349" s="46">
        <v>1</v>
      </c>
      <c r="N349" s="46">
        <v>1</v>
      </c>
      <c r="O349" s="46">
        <v>1</v>
      </c>
      <c r="P349" s="22">
        <f t="shared" si="77"/>
        <v>0</v>
      </c>
      <c r="Q349" s="15">
        <f t="shared" si="78"/>
        <v>0</v>
      </c>
      <c r="R349" s="23"/>
      <c r="T349" s="7"/>
    </row>
    <row r="350" spans="2:20">
      <c r="B350" s="23"/>
      <c r="C350" s="23"/>
      <c r="D350" s="23" t="s">
        <v>11</v>
      </c>
      <c r="E350" s="25">
        <f t="shared" si="76"/>
        <v>4.2200000000000024</v>
      </c>
      <c r="F350" s="25">
        <f t="shared" si="76"/>
        <v>3.6999999999999993</v>
      </c>
      <c r="G350" s="25">
        <f t="shared" si="76"/>
        <v>3.7000000000000011</v>
      </c>
      <c r="H350" s="25">
        <v>4</v>
      </c>
      <c r="I350" s="25">
        <v>4</v>
      </c>
      <c r="J350" s="29">
        <v>4</v>
      </c>
      <c r="K350" s="46">
        <v>4</v>
      </c>
      <c r="L350" s="46">
        <v>2</v>
      </c>
      <c r="M350" s="46">
        <v>2</v>
      </c>
      <c r="N350" s="46">
        <v>2</v>
      </c>
      <c r="O350" s="46">
        <v>2</v>
      </c>
      <c r="P350" s="22">
        <f t="shared" si="77"/>
        <v>0</v>
      </c>
      <c r="Q350" s="15">
        <f t="shared" si="78"/>
        <v>0</v>
      </c>
      <c r="R350" s="23"/>
      <c r="T350" s="7"/>
    </row>
    <row r="351" spans="2:20">
      <c r="B351" s="23"/>
      <c r="C351" s="23"/>
      <c r="D351" s="23" t="s">
        <v>7</v>
      </c>
      <c r="E351" s="25">
        <f t="shared" ref="E351:H351" si="79">SUM(E347:E350)</f>
        <v>8.98</v>
      </c>
      <c r="F351" s="25">
        <f t="shared" si="79"/>
        <v>5.6999999999999993</v>
      </c>
      <c r="G351" s="25">
        <f t="shared" si="79"/>
        <v>6.2000000000000011</v>
      </c>
      <c r="H351" s="25">
        <f t="shared" si="79"/>
        <v>6</v>
      </c>
      <c r="I351" s="25">
        <v>6</v>
      </c>
      <c r="J351" s="25">
        <v>6</v>
      </c>
      <c r="K351" s="25">
        <v>6</v>
      </c>
      <c r="L351" s="25">
        <v>3</v>
      </c>
      <c r="M351" s="25">
        <v>3</v>
      </c>
      <c r="N351" s="25">
        <v>3</v>
      </c>
      <c r="O351" s="25">
        <f>SUBTOTAL(109,O347:O350)</f>
        <v>3</v>
      </c>
      <c r="P351" s="22">
        <f t="shared" si="77"/>
        <v>0</v>
      </c>
      <c r="Q351" s="15">
        <f t="shared" si="78"/>
        <v>0</v>
      </c>
      <c r="R351" s="23"/>
      <c r="T351" s="7"/>
    </row>
    <row r="352" spans="2:20">
      <c r="B352" s="23"/>
      <c r="C352" s="23"/>
      <c r="D352" s="23"/>
      <c r="E352" s="13"/>
      <c r="F352" s="25"/>
      <c r="G352" s="25"/>
      <c r="H352" s="25"/>
      <c r="I352" s="25"/>
      <c r="J352" s="25"/>
      <c r="K352" s="23"/>
      <c r="L352" s="23"/>
      <c r="M352" s="23"/>
      <c r="N352" s="23"/>
      <c r="O352" s="22"/>
      <c r="P352" s="15"/>
      <c r="Q352" s="23"/>
      <c r="R352" s="7"/>
    </row>
    <row r="353" spans="2:20" ht="15.75">
      <c r="B353" s="23"/>
      <c r="C353" s="42" t="s">
        <v>17</v>
      </c>
      <c r="D353" s="23"/>
      <c r="E353" s="13"/>
      <c r="F353" s="25"/>
      <c r="G353" s="25"/>
      <c r="H353" s="25"/>
      <c r="I353" s="25"/>
      <c r="J353" s="25"/>
      <c r="K353" s="23"/>
      <c r="L353" s="23"/>
      <c r="M353" s="23"/>
      <c r="N353" s="23"/>
      <c r="O353" s="22"/>
      <c r="P353" s="15"/>
      <c r="Q353" s="23"/>
      <c r="R353" s="7"/>
    </row>
    <row r="354" spans="2:20" ht="15.75">
      <c r="B354" s="23"/>
      <c r="C354" s="42"/>
      <c r="D354" s="17" t="s">
        <v>45</v>
      </c>
      <c r="E354" s="19" t="s">
        <v>2</v>
      </c>
      <c r="F354" s="19" t="s">
        <v>3</v>
      </c>
      <c r="G354" s="19" t="s">
        <v>4</v>
      </c>
      <c r="H354" s="19" t="s">
        <v>5</v>
      </c>
      <c r="I354" s="19" t="s">
        <v>46</v>
      </c>
      <c r="J354" s="18" t="s">
        <v>47</v>
      </c>
      <c r="K354" s="18" t="s">
        <v>42</v>
      </c>
      <c r="L354" s="18" t="s">
        <v>43</v>
      </c>
      <c r="M354" s="18" t="s">
        <v>44</v>
      </c>
      <c r="N354" s="18" t="s">
        <v>54</v>
      </c>
      <c r="O354" s="18" t="s">
        <v>55</v>
      </c>
      <c r="P354" s="20" t="s">
        <v>49</v>
      </c>
      <c r="Q354" s="21" t="s">
        <v>50</v>
      </c>
      <c r="R354" s="23"/>
      <c r="T354" s="7"/>
    </row>
    <row r="355" spans="2:20">
      <c r="B355" s="23"/>
      <c r="C355" s="23"/>
      <c r="D355" s="23" t="s">
        <v>8</v>
      </c>
      <c r="E355" s="25">
        <f>3</f>
        <v>3</v>
      </c>
      <c r="F355" s="25">
        <f>3</f>
        <v>3</v>
      </c>
      <c r="G355" s="25">
        <v>3</v>
      </c>
      <c r="H355" s="25">
        <f>H347+H339</f>
        <v>2</v>
      </c>
      <c r="I355" s="25">
        <v>1</v>
      </c>
      <c r="J355" s="25">
        <v>1</v>
      </c>
      <c r="K355" s="25">
        <v>2</v>
      </c>
      <c r="L355" s="25">
        <v>1</v>
      </c>
      <c r="M355" s="25">
        <v>1</v>
      </c>
      <c r="N355" s="25">
        <v>0</v>
      </c>
      <c r="O355" s="25">
        <v>1</v>
      </c>
      <c r="P355" s="22">
        <f t="shared" ref="P355:P359" si="80">O355-N355</f>
        <v>1</v>
      </c>
      <c r="Q355" s="15">
        <f t="shared" ref="Q355:Q359" si="81">IF(O355&lt;&gt;0,P355/O355,"           -")</f>
        <v>1</v>
      </c>
      <c r="R355" s="15"/>
      <c r="T355" s="7"/>
    </row>
    <row r="356" spans="2:20">
      <c r="B356" s="23"/>
      <c r="C356" s="23"/>
      <c r="D356" s="23" t="s">
        <v>9</v>
      </c>
      <c r="E356" s="25">
        <f>41.89</f>
        <v>41.89</v>
      </c>
      <c r="F356" s="25">
        <v>38.450000000000003</v>
      </c>
      <c r="G356" s="25">
        <v>35.840000000000003</v>
      </c>
      <c r="H356" s="25">
        <f>H348+H340</f>
        <v>34</v>
      </c>
      <c r="I356" s="25">
        <v>39</v>
      </c>
      <c r="J356" s="25">
        <v>37</v>
      </c>
      <c r="K356" s="25">
        <v>35</v>
      </c>
      <c r="L356" s="25">
        <v>32</v>
      </c>
      <c r="M356" s="25">
        <v>30</v>
      </c>
      <c r="N356" s="25">
        <v>28</v>
      </c>
      <c r="O356" s="25">
        <v>23</v>
      </c>
      <c r="P356" s="22">
        <f t="shared" si="80"/>
        <v>-5</v>
      </c>
      <c r="Q356" s="15">
        <f t="shared" si="81"/>
        <v>-0.21739130434782608</v>
      </c>
      <c r="S356" s="10"/>
      <c r="T356" s="7"/>
    </row>
    <row r="357" spans="2:20">
      <c r="B357" s="23"/>
      <c r="C357" s="23"/>
      <c r="D357" s="23" t="s">
        <v>10</v>
      </c>
      <c r="E357" s="25">
        <f>22.5 + 7</f>
        <v>29.5</v>
      </c>
      <c r="F357" s="25">
        <f>23.25 + 4</f>
        <v>27.25</v>
      </c>
      <c r="G357" s="25">
        <f>18.41+1</f>
        <v>19.41</v>
      </c>
      <c r="H357" s="25">
        <f>H349+H341</f>
        <v>20</v>
      </c>
      <c r="I357" s="25">
        <v>23</v>
      </c>
      <c r="J357" s="25">
        <v>24</v>
      </c>
      <c r="K357" s="25">
        <v>21</v>
      </c>
      <c r="L357" s="25">
        <v>18</v>
      </c>
      <c r="M357" s="25">
        <v>17</v>
      </c>
      <c r="N357" s="25">
        <v>18</v>
      </c>
      <c r="O357" s="25">
        <v>17</v>
      </c>
      <c r="P357" s="22">
        <f t="shared" si="80"/>
        <v>-1</v>
      </c>
      <c r="Q357" s="15">
        <f t="shared" si="81"/>
        <v>-5.8823529411764705E-2</v>
      </c>
      <c r="S357" s="10"/>
      <c r="T357" s="7"/>
    </row>
    <row r="358" spans="2:20">
      <c r="B358" s="23"/>
      <c r="C358" s="23"/>
      <c r="D358" s="23" t="s">
        <v>11</v>
      </c>
      <c r="E358" s="25">
        <f>23.35</f>
        <v>23.35</v>
      </c>
      <c r="F358" s="25">
        <f>20.88</f>
        <v>20.88</v>
      </c>
      <c r="G358" s="25">
        <v>18.010000000000002</v>
      </c>
      <c r="H358" s="25">
        <f>H350+H342</f>
        <v>19</v>
      </c>
      <c r="I358" s="25">
        <v>19</v>
      </c>
      <c r="J358" s="25">
        <v>17</v>
      </c>
      <c r="K358" s="25">
        <v>20</v>
      </c>
      <c r="L358" s="25">
        <v>16</v>
      </c>
      <c r="M358" s="25">
        <v>14</v>
      </c>
      <c r="N358" s="25">
        <v>12</v>
      </c>
      <c r="O358" s="25">
        <v>12</v>
      </c>
      <c r="P358" s="22">
        <f t="shared" si="80"/>
        <v>0</v>
      </c>
      <c r="Q358" s="15">
        <f t="shared" si="81"/>
        <v>0</v>
      </c>
      <c r="S358" s="10"/>
      <c r="T358" s="7"/>
    </row>
    <row r="359" spans="2:20">
      <c r="B359" s="23"/>
      <c r="C359" s="23"/>
      <c r="D359" s="23" t="s">
        <v>7</v>
      </c>
      <c r="E359" s="13">
        <f t="shared" ref="E359:H359" si="82">SUM(E355:E358)</f>
        <v>97.740000000000009</v>
      </c>
      <c r="F359" s="13">
        <f t="shared" si="82"/>
        <v>89.58</v>
      </c>
      <c r="G359" s="13">
        <f t="shared" si="82"/>
        <v>76.260000000000005</v>
      </c>
      <c r="H359" s="13">
        <f t="shared" si="82"/>
        <v>75</v>
      </c>
      <c r="I359" s="13">
        <v>82</v>
      </c>
      <c r="J359" s="13">
        <v>79</v>
      </c>
      <c r="K359" s="13">
        <v>78</v>
      </c>
      <c r="L359" s="13">
        <v>67</v>
      </c>
      <c r="M359" s="13">
        <v>62</v>
      </c>
      <c r="N359" s="13">
        <v>58</v>
      </c>
      <c r="O359" s="13">
        <f>SUBTOTAL(109,O355:O358)</f>
        <v>53</v>
      </c>
      <c r="P359" s="22">
        <f t="shared" si="80"/>
        <v>-5</v>
      </c>
      <c r="Q359" s="15">
        <f t="shared" si="81"/>
        <v>-9.4339622641509441E-2</v>
      </c>
      <c r="S359" s="10"/>
      <c r="T359" s="7"/>
    </row>
    <row r="360" spans="2:20"/>
    <row r="361" spans="2:20">
      <c r="B361" s="7" t="str">
        <f>"_________________________"</f>
        <v>_________________________</v>
      </c>
    </row>
    <row r="362" spans="2:20" ht="18">
      <c r="C362" s="67">
        <v>1</v>
      </c>
      <c r="D362" s="7" t="s">
        <v>18</v>
      </c>
    </row>
    <row r="363" spans="2:20" ht="18">
      <c r="C363" s="67">
        <v>2</v>
      </c>
      <c r="D363" s="7" t="s">
        <v>19</v>
      </c>
    </row>
    <row r="364" spans="2:20" ht="18">
      <c r="C364" s="67"/>
      <c r="D364" s="7" t="s">
        <v>20</v>
      </c>
    </row>
    <row r="365" spans="2:20" ht="18">
      <c r="C365" s="67">
        <v>3</v>
      </c>
      <c r="D365" s="7" t="s">
        <v>21</v>
      </c>
    </row>
    <row r="366" spans="2:20">
      <c r="D366" s="7" t="s">
        <v>22</v>
      </c>
    </row>
    <row r="367" spans="2:20">
      <c r="D367" s="7" t="s">
        <v>23</v>
      </c>
    </row>
    <row r="368" spans="2:20" ht="18">
      <c r="C368" s="67">
        <v>4</v>
      </c>
      <c r="D368" s="7" t="s">
        <v>24</v>
      </c>
    </row>
    <row r="369" spans="2:18" ht="18">
      <c r="C369" s="67"/>
    </row>
    <row r="370" spans="2:18" ht="18">
      <c r="C370" s="67"/>
    </row>
    <row r="371" spans="2:18" ht="18">
      <c r="C371" s="67"/>
    </row>
    <row r="372" spans="2:18" ht="18">
      <c r="C372" s="67"/>
    </row>
    <row r="373" spans="2:18" ht="18">
      <c r="C373" s="67"/>
    </row>
    <row r="374" spans="2:18" ht="18">
      <c r="C374" s="67"/>
    </row>
    <row r="375" spans="2:18">
      <c r="B375" s="7" t="s">
        <v>25</v>
      </c>
    </row>
    <row r="376" spans="2:18">
      <c r="B376" s="7" t="str">
        <f>B75</f>
        <v>November 13, 2023</v>
      </c>
    </row>
    <row r="377" spans="2:18" ht="15.75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8"/>
      <c r="R377" s="8"/>
    </row>
    <row r="378" spans="2:18" ht="15.75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8"/>
      <c r="R378" s="8"/>
    </row>
    <row r="379" spans="2:18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7"/>
      <c r="R379" s="7"/>
    </row>
    <row r="380" spans="2:18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7"/>
      <c r="R380" s="7"/>
    </row>
    <row r="381" spans="2:18" ht="15.75">
      <c r="C381" s="8"/>
      <c r="D381" s="8"/>
      <c r="E381" s="8"/>
      <c r="F381" s="8"/>
      <c r="G381" s="8"/>
      <c r="H381" s="8"/>
      <c r="I381" s="40"/>
      <c r="J381" s="9" t="s">
        <v>26</v>
      </c>
      <c r="K381" s="8"/>
      <c r="L381" s="8"/>
      <c r="M381" s="8"/>
      <c r="N381" s="8"/>
      <c r="O381" s="8"/>
      <c r="P381" s="8"/>
      <c r="Q381" s="7"/>
      <c r="R381" s="7"/>
    </row>
    <row r="382" spans="2:18" ht="15.75">
      <c r="C382" s="8"/>
      <c r="D382" s="8"/>
      <c r="E382" s="8"/>
      <c r="F382" s="8"/>
      <c r="G382" s="8"/>
      <c r="H382" s="8"/>
      <c r="I382" s="40"/>
      <c r="J382" s="9" t="s">
        <v>32</v>
      </c>
      <c r="K382" s="8"/>
      <c r="L382" s="8"/>
      <c r="M382" s="8"/>
      <c r="N382" s="8"/>
      <c r="O382" s="8"/>
      <c r="P382" s="8"/>
      <c r="Q382" s="7"/>
      <c r="R382" s="7"/>
    </row>
    <row r="383" spans="2:18" ht="15.75">
      <c r="B383" s="43"/>
      <c r="D383" s="43"/>
      <c r="H383" s="13"/>
      <c r="I383" s="13"/>
      <c r="J383" s="13"/>
      <c r="K383" s="7"/>
      <c r="L383" s="7"/>
      <c r="M383" s="7"/>
      <c r="N383" s="7"/>
      <c r="O383" s="14"/>
      <c r="P383" s="14"/>
      <c r="Q383" s="7"/>
      <c r="R383" s="7"/>
    </row>
    <row r="384" spans="2:18">
      <c r="E384" s="13"/>
      <c r="H384" s="13"/>
      <c r="I384" s="13"/>
      <c r="J384" s="13"/>
      <c r="K384" s="7"/>
      <c r="L384" s="7"/>
      <c r="M384" s="7"/>
      <c r="N384" s="7"/>
      <c r="O384" s="14"/>
      <c r="P384" s="15"/>
      <c r="Q384" s="7"/>
      <c r="R384" s="7"/>
    </row>
    <row r="385" spans="2:20" ht="18.75">
      <c r="B385" s="12" t="s">
        <v>48</v>
      </c>
      <c r="E385" s="13"/>
      <c r="H385" s="13"/>
      <c r="I385" s="13"/>
      <c r="J385" s="13"/>
      <c r="K385" s="7"/>
      <c r="L385" s="7"/>
      <c r="M385" s="7"/>
      <c r="N385" s="7"/>
      <c r="O385" s="14"/>
      <c r="P385" s="15"/>
      <c r="Q385" s="7"/>
      <c r="R385" s="7"/>
    </row>
    <row r="386" spans="2:20">
      <c r="E386" s="13"/>
      <c r="H386" s="13"/>
      <c r="I386" s="13"/>
      <c r="J386" s="13"/>
      <c r="K386" s="7"/>
      <c r="L386" s="7"/>
      <c r="M386" s="7"/>
      <c r="N386" s="7"/>
      <c r="O386" s="14"/>
      <c r="P386" s="15"/>
      <c r="Q386" s="7"/>
      <c r="R386" s="7"/>
    </row>
    <row r="387" spans="2:20" ht="15.75">
      <c r="C387" s="16" t="s">
        <v>6</v>
      </c>
      <c r="E387" s="13"/>
      <c r="H387" s="13"/>
      <c r="I387" s="13"/>
      <c r="J387" s="13"/>
      <c r="K387" s="7"/>
      <c r="L387" s="7"/>
      <c r="M387" s="7"/>
      <c r="N387" s="7"/>
      <c r="O387" s="14"/>
      <c r="P387" s="15"/>
      <c r="Q387" s="7"/>
      <c r="R387" s="7"/>
    </row>
    <row r="388" spans="2:20" ht="15.75">
      <c r="C388" s="16"/>
      <c r="D388" s="17" t="s">
        <v>45</v>
      </c>
      <c r="E388" s="19" t="s">
        <v>2</v>
      </c>
      <c r="F388" s="19" t="s">
        <v>3</v>
      </c>
      <c r="G388" s="19" t="s">
        <v>4</v>
      </c>
      <c r="H388" s="19" t="s">
        <v>5</v>
      </c>
      <c r="I388" s="19" t="s">
        <v>46</v>
      </c>
      <c r="J388" s="18" t="s">
        <v>47</v>
      </c>
      <c r="K388" s="18" t="s">
        <v>42</v>
      </c>
      <c r="L388" s="18" t="s">
        <v>43</v>
      </c>
      <c r="M388" s="18" t="s">
        <v>44</v>
      </c>
      <c r="N388" s="18" t="s">
        <v>54</v>
      </c>
      <c r="O388" s="18" t="s">
        <v>55</v>
      </c>
      <c r="P388" s="20" t="s">
        <v>49</v>
      </c>
      <c r="Q388" s="21" t="s">
        <v>50</v>
      </c>
      <c r="R388" s="7"/>
      <c r="T388" s="7"/>
    </row>
    <row r="389" spans="2:20">
      <c r="D389" s="23" t="s">
        <v>7</v>
      </c>
      <c r="E389" s="13">
        <v>199</v>
      </c>
      <c r="F389" s="13">
        <v>195</v>
      </c>
      <c r="G389" s="13">
        <v>189</v>
      </c>
      <c r="H389" s="13">
        <v>184</v>
      </c>
      <c r="I389" s="13">
        <v>174</v>
      </c>
      <c r="J389" s="13">
        <v>181</v>
      </c>
      <c r="K389" s="13">
        <v>182</v>
      </c>
      <c r="L389" s="13">
        <v>176</v>
      </c>
      <c r="M389" s="13">
        <v>181</v>
      </c>
      <c r="N389" s="13">
        <v>179</v>
      </c>
      <c r="O389" s="13">
        <v>176</v>
      </c>
      <c r="P389" s="22">
        <f>O389-N389</f>
        <v>-3</v>
      </c>
      <c r="Q389" s="15">
        <f>IF(O389&lt;&gt;0,P389/O389,"           -")</f>
        <v>-1.7045454545454544E-2</v>
      </c>
      <c r="R389" s="7"/>
      <c r="T389" s="7"/>
    </row>
    <row r="390" spans="2:20">
      <c r="D390" s="23"/>
      <c r="E390" s="13"/>
      <c r="F390" s="13"/>
      <c r="G390" s="13"/>
      <c r="H390" s="13"/>
      <c r="I390" s="13"/>
      <c r="J390" s="23"/>
      <c r="K390" s="23"/>
      <c r="L390" s="23"/>
      <c r="M390" s="23"/>
      <c r="N390" s="23"/>
      <c r="O390" s="23"/>
      <c r="P390" s="22"/>
      <c r="Q390" s="15"/>
      <c r="R390" s="7"/>
      <c r="T390" s="7"/>
    </row>
    <row r="391" spans="2:20">
      <c r="D391" s="23" t="s">
        <v>8</v>
      </c>
      <c r="E391" s="13">
        <f>3</f>
        <v>3</v>
      </c>
      <c r="F391" s="13">
        <v>4</v>
      </c>
      <c r="G391" s="13">
        <v>3</v>
      </c>
      <c r="H391" s="13">
        <v>3</v>
      </c>
      <c r="I391" s="13">
        <v>4</v>
      </c>
      <c r="J391" s="23">
        <v>4</v>
      </c>
      <c r="K391" s="23">
        <v>3</v>
      </c>
      <c r="L391" s="23">
        <v>5</v>
      </c>
      <c r="M391" s="23">
        <v>6</v>
      </c>
      <c r="N391" s="23">
        <v>6</v>
      </c>
      <c r="O391" s="23">
        <v>4</v>
      </c>
      <c r="P391" s="22">
        <f t="shared" ref="P391:P394" si="83">O391-N391</f>
        <v>-2</v>
      </c>
      <c r="Q391" s="15">
        <f t="shared" ref="Q391:Q394" si="84">IF(O391&lt;&gt;0,P391/O391,"           -")</f>
        <v>-0.5</v>
      </c>
      <c r="R391" s="7"/>
      <c r="T391" s="7"/>
    </row>
    <row r="392" spans="2:20">
      <c r="D392" s="23" t="s">
        <v>9</v>
      </c>
      <c r="E392" s="13">
        <f>93</f>
        <v>93</v>
      </c>
      <c r="F392" s="13">
        <v>92</v>
      </c>
      <c r="G392" s="13">
        <v>92</v>
      </c>
      <c r="H392" s="13">
        <v>88</v>
      </c>
      <c r="I392" s="13">
        <v>80</v>
      </c>
      <c r="J392" s="23">
        <v>80</v>
      </c>
      <c r="K392" s="23">
        <v>78</v>
      </c>
      <c r="L392" s="23">
        <v>74</v>
      </c>
      <c r="M392" s="23">
        <v>79</v>
      </c>
      <c r="N392" s="23">
        <v>77</v>
      </c>
      <c r="O392" s="23">
        <v>77</v>
      </c>
      <c r="P392" s="22">
        <f t="shared" si="83"/>
        <v>0</v>
      </c>
      <c r="Q392" s="15">
        <f t="shared" si="84"/>
        <v>0</v>
      </c>
      <c r="R392" s="7"/>
      <c r="T392" s="7"/>
    </row>
    <row r="393" spans="2:20">
      <c r="D393" s="23" t="s">
        <v>10</v>
      </c>
      <c r="E393" s="13">
        <f>42 + 12</f>
        <v>54</v>
      </c>
      <c r="F393" s="13">
        <f>46 + 11</f>
        <v>57</v>
      </c>
      <c r="G393" s="13">
        <f>41+12</f>
        <v>53</v>
      </c>
      <c r="H393" s="13">
        <f>43+10</f>
        <v>53</v>
      </c>
      <c r="I393" s="13">
        <v>51</v>
      </c>
      <c r="J393" s="23">
        <v>54</v>
      </c>
      <c r="K393" s="23">
        <v>59</v>
      </c>
      <c r="L393" s="23">
        <v>59</v>
      </c>
      <c r="M393" s="23">
        <v>57</v>
      </c>
      <c r="N393" s="23">
        <v>60</v>
      </c>
      <c r="O393" s="23">
        <v>61</v>
      </c>
      <c r="P393" s="22">
        <f t="shared" si="83"/>
        <v>1</v>
      </c>
      <c r="Q393" s="15">
        <f t="shared" si="84"/>
        <v>1.6393442622950821E-2</v>
      </c>
      <c r="R393" s="7"/>
      <c r="T393" s="7"/>
    </row>
    <row r="394" spans="2:20">
      <c r="D394" s="23" t="s">
        <v>11</v>
      </c>
      <c r="E394" s="13">
        <f>49</f>
        <v>49</v>
      </c>
      <c r="F394" s="13">
        <f>42</f>
        <v>42</v>
      </c>
      <c r="G394" s="13">
        <v>41</v>
      </c>
      <c r="H394" s="13">
        <v>40</v>
      </c>
      <c r="I394" s="13">
        <v>39</v>
      </c>
      <c r="J394" s="23">
        <v>43</v>
      </c>
      <c r="K394" s="23">
        <v>42</v>
      </c>
      <c r="L394" s="23">
        <v>38</v>
      </c>
      <c r="M394" s="23">
        <v>39</v>
      </c>
      <c r="N394" s="23">
        <v>36</v>
      </c>
      <c r="O394" s="23">
        <v>34</v>
      </c>
      <c r="P394" s="22">
        <f t="shared" si="83"/>
        <v>-2</v>
      </c>
      <c r="Q394" s="15">
        <f t="shared" si="84"/>
        <v>-5.8823529411764705E-2</v>
      </c>
      <c r="R394" s="7"/>
      <c r="T394" s="7"/>
    </row>
    <row r="395" spans="2:20">
      <c r="D395" s="23"/>
      <c r="E395" s="13"/>
      <c r="F395" s="13"/>
      <c r="G395" s="13"/>
      <c r="H395" s="13"/>
      <c r="I395" s="13"/>
      <c r="J395" s="23"/>
      <c r="K395" s="23"/>
      <c r="L395" s="23"/>
      <c r="M395" s="23"/>
      <c r="N395" s="23"/>
      <c r="O395" s="23"/>
      <c r="P395" s="22"/>
      <c r="Q395" s="15"/>
      <c r="R395" s="7"/>
      <c r="T395" s="7"/>
    </row>
    <row r="396" spans="2:20">
      <c r="D396" s="23" t="s">
        <v>12</v>
      </c>
      <c r="E396" s="13">
        <f>142</f>
        <v>142</v>
      </c>
      <c r="F396" s="13">
        <f>136</f>
        <v>136</v>
      </c>
      <c r="G396" s="13">
        <v>128</v>
      </c>
      <c r="H396" s="13">
        <v>126</v>
      </c>
      <c r="I396" s="13">
        <v>122</v>
      </c>
      <c r="J396" s="77">
        <v>130</v>
      </c>
      <c r="K396" s="77">
        <v>134</v>
      </c>
      <c r="L396" s="77">
        <v>124</v>
      </c>
      <c r="M396" s="77">
        <v>130</v>
      </c>
      <c r="N396" s="77">
        <v>131</v>
      </c>
      <c r="O396" s="77">
        <v>125</v>
      </c>
      <c r="P396" s="22">
        <f t="shared" ref="P396:P397" si="85">O396-N396</f>
        <v>-6</v>
      </c>
      <c r="Q396" s="15">
        <f t="shared" ref="Q396:Q397" si="86">IF(O396&lt;&gt;0,P396/O396,"           -")</f>
        <v>-4.8000000000000001E-2</v>
      </c>
      <c r="R396" s="7"/>
      <c r="T396" s="7"/>
    </row>
    <row r="397" spans="2:20">
      <c r="D397" s="23" t="s">
        <v>13</v>
      </c>
      <c r="E397" s="13">
        <f>57</f>
        <v>57</v>
      </c>
      <c r="F397" s="13">
        <f>59</f>
        <v>59</v>
      </c>
      <c r="G397" s="13">
        <v>61</v>
      </c>
      <c r="H397" s="13">
        <v>58</v>
      </c>
      <c r="I397" s="13">
        <v>52</v>
      </c>
      <c r="J397" s="23">
        <v>51</v>
      </c>
      <c r="K397" s="23">
        <v>48</v>
      </c>
      <c r="L397" s="23">
        <v>52</v>
      </c>
      <c r="M397" s="23">
        <v>51</v>
      </c>
      <c r="N397" s="23">
        <v>48</v>
      </c>
      <c r="O397" s="23">
        <v>51</v>
      </c>
      <c r="P397" s="22">
        <f t="shared" si="85"/>
        <v>3</v>
      </c>
      <c r="Q397" s="15">
        <f t="shared" si="86"/>
        <v>5.8823529411764705E-2</v>
      </c>
      <c r="R397" s="7"/>
      <c r="T397" s="7"/>
    </row>
    <row r="398" spans="2:20">
      <c r="D398" s="23"/>
      <c r="E398" s="13"/>
      <c r="F398" s="13"/>
      <c r="G398" s="13"/>
      <c r="H398" s="13"/>
      <c r="I398" s="13"/>
      <c r="J398" s="23"/>
      <c r="K398" s="23"/>
      <c r="L398" s="23"/>
      <c r="M398" s="23"/>
      <c r="N398" s="23"/>
      <c r="O398" s="23"/>
      <c r="P398" s="22"/>
      <c r="Q398" s="15" t="str">
        <f>IF(N398&lt;&gt;0,P398/N398,"           -")</f>
        <v xml:space="preserve">           -</v>
      </c>
      <c r="R398" s="7"/>
      <c r="T398" s="7"/>
    </row>
    <row r="399" spans="2:20">
      <c r="D399" s="23" t="s">
        <v>14</v>
      </c>
      <c r="E399" s="13">
        <f>157</f>
        <v>157</v>
      </c>
      <c r="F399" s="13">
        <f>149</f>
        <v>149</v>
      </c>
      <c r="G399" s="13">
        <v>140</v>
      </c>
      <c r="H399" s="13">
        <v>137</v>
      </c>
      <c r="I399" s="13">
        <v>133</v>
      </c>
      <c r="J399" s="77">
        <v>141</v>
      </c>
      <c r="K399" s="77">
        <v>143</v>
      </c>
      <c r="L399" s="77">
        <v>140</v>
      </c>
      <c r="M399" s="77">
        <v>139</v>
      </c>
      <c r="N399" s="77">
        <v>138</v>
      </c>
      <c r="O399" s="77">
        <v>133</v>
      </c>
      <c r="P399" s="22">
        <f t="shared" ref="P399:P400" si="87">O399-N399</f>
        <v>-5</v>
      </c>
      <c r="Q399" s="15">
        <f t="shared" ref="Q399:Q400" si="88">IF(O399&lt;&gt;0,P399/O399,"           -")</f>
        <v>-3.7593984962406013E-2</v>
      </c>
      <c r="R399" s="7"/>
      <c r="T399" s="7"/>
    </row>
    <row r="400" spans="2:20">
      <c r="D400" s="23" t="s">
        <v>15</v>
      </c>
      <c r="E400" s="13">
        <f>42</f>
        <v>42</v>
      </c>
      <c r="F400" s="13">
        <f>46</f>
        <v>46</v>
      </c>
      <c r="G400" s="13">
        <v>49</v>
      </c>
      <c r="H400" s="13">
        <v>47</v>
      </c>
      <c r="I400" s="13">
        <v>41</v>
      </c>
      <c r="J400" s="23">
        <v>40</v>
      </c>
      <c r="K400" s="23">
        <v>39</v>
      </c>
      <c r="L400" s="23">
        <v>36</v>
      </c>
      <c r="M400" s="23">
        <v>42</v>
      </c>
      <c r="N400" s="23">
        <v>41</v>
      </c>
      <c r="O400" s="23">
        <v>43</v>
      </c>
      <c r="P400" s="22">
        <f t="shared" si="87"/>
        <v>2</v>
      </c>
      <c r="Q400" s="15">
        <f t="shared" si="88"/>
        <v>4.6511627906976744E-2</v>
      </c>
      <c r="R400" s="7"/>
      <c r="T400" s="7"/>
    </row>
    <row r="401" spans="1:20">
      <c r="D401" s="23"/>
      <c r="E401" s="13"/>
      <c r="F401" s="13"/>
      <c r="G401" s="13"/>
      <c r="H401" s="13"/>
      <c r="I401" s="13"/>
      <c r="J401" s="13"/>
      <c r="K401" s="23"/>
      <c r="L401" s="23"/>
      <c r="M401" s="23"/>
      <c r="N401" s="23"/>
      <c r="O401" s="22"/>
      <c r="P401" s="15"/>
      <c r="Q401" s="7"/>
      <c r="R401" s="7"/>
    </row>
    <row r="402" spans="1:20" ht="15.75">
      <c r="C402" s="16" t="s">
        <v>16</v>
      </c>
      <c r="D402" s="23"/>
      <c r="E402" s="13"/>
      <c r="F402" s="13"/>
      <c r="G402" s="13"/>
      <c r="H402" s="13"/>
      <c r="I402" s="13"/>
      <c r="J402" s="13"/>
      <c r="K402" s="23"/>
      <c r="L402" s="23"/>
      <c r="M402" s="23"/>
      <c r="N402" s="23"/>
      <c r="O402" s="22"/>
      <c r="P402" s="15"/>
      <c r="Q402" s="7"/>
      <c r="R402" s="7"/>
    </row>
    <row r="403" spans="1:20" ht="15.75">
      <c r="C403" s="16"/>
      <c r="D403" s="17" t="s">
        <v>45</v>
      </c>
      <c r="E403" s="19" t="s">
        <v>2</v>
      </c>
      <c r="F403" s="19" t="s">
        <v>3</v>
      </c>
      <c r="G403" s="19" t="s">
        <v>4</v>
      </c>
      <c r="H403" s="19" t="s">
        <v>5</v>
      </c>
      <c r="I403" s="19" t="s">
        <v>46</v>
      </c>
      <c r="J403" s="18" t="s">
        <v>47</v>
      </c>
      <c r="K403" s="18" t="s">
        <v>42</v>
      </c>
      <c r="L403" s="18" t="s">
        <v>43</v>
      </c>
      <c r="M403" s="18" t="s">
        <v>44</v>
      </c>
      <c r="N403" s="18" t="s">
        <v>54</v>
      </c>
      <c r="O403" s="18" t="s">
        <v>55</v>
      </c>
      <c r="P403" s="20" t="s">
        <v>49</v>
      </c>
      <c r="Q403" s="21" t="s">
        <v>50</v>
      </c>
      <c r="R403" s="7"/>
      <c r="T403" s="7"/>
    </row>
    <row r="404" spans="1:20">
      <c r="D404" s="24" t="s">
        <v>8</v>
      </c>
      <c r="E404" s="13">
        <f>3</f>
        <v>3</v>
      </c>
      <c r="F404" s="13">
        <f>4</f>
        <v>4</v>
      </c>
      <c r="G404" s="13">
        <v>3</v>
      </c>
      <c r="H404" s="13">
        <v>3</v>
      </c>
      <c r="I404" s="13">
        <v>4</v>
      </c>
      <c r="J404" s="23">
        <v>4</v>
      </c>
      <c r="K404" s="23">
        <v>3</v>
      </c>
      <c r="L404" s="23">
        <v>5</v>
      </c>
      <c r="M404" s="23">
        <v>5</v>
      </c>
      <c r="N404" s="56">
        <v>6</v>
      </c>
      <c r="O404" s="56">
        <v>4</v>
      </c>
      <c r="P404" s="22">
        <f t="shared" ref="P404:P408" si="89">O404-N404</f>
        <v>-2</v>
      </c>
      <c r="Q404" s="15">
        <f t="shared" ref="Q404:Q408" si="90">IF(O404&lt;&gt;0,P404/O404,"           -")</f>
        <v>-0.5</v>
      </c>
      <c r="R404" s="23"/>
      <c r="T404" s="7"/>
    </row>
    <row r="405" spans="1:20">
      <c r="D405" s="24" t="s">
        <v>9</v>
      </c>
      <c r="E405" s="13">
        <f>46</f>
        <v>46</v>
      </c>
      <c r="F405" s="13">
        <f>43</f>
        <v>43</v>
      </c>
      <c r="G405" s="13">
        <v>41</v>
      </c>
      <c r="H405" s="13">
        <v>40</v>
      </c>
      <c r="I405" s="13">
        <v>37</v>
      </c>
      <c r="J405" s="23">
        <v>39</v>
      </c>
      <c r="K405" s="23">
        <v>38</v>
      </c>
      <c r="L405" s="23">
        <v>37</v>
      </c>
      <c r="M405" s="23">
        <v>36</v>
      </c>
      <c r="N405" s="56">
        <v>35</v>
      </c>
      <c r="O405" s="56">
        <v>33</v>
      </c>
      <c r="P405" s="22">
        <f t="shared" si="89"/>
        <v>-2</v>
      </c>
      <c r="Q405" s="15">
        <f t="shared" si="90"/>
        <v>-6.0606060606060608E-2</v>
      </c>
      <c r="R405" s="23"/>
      <c r="T405" s="7"/>
    </row>
    <row r="406" spans="1:20">
      <c r="D406" s="24" t="s">
        <v>10</v>
      </c>
      <c r="E406" s="13">
        <f>35 + 12</f>
        <v>47</v>
      </c>
      <c r="F406" s="13">
        <f>39 + 10</f>
        <v>49</v>
      </c>
      <c r="G406" s="13">
        <f>35+10</f>
        <v>45</v>
      </c>
      <c r="H406" s="13">
        <f>37+8</f>
        <v>45</v>
      </c>
      <c r="I406" s="13">
        <v>44</v>
      </c>
      <c r="J406" s="23">
        <v>47</v>
      </c>
      <c r="K406" s="23">
        <v>53</v>
      </c>
      <c r="L406" s="23">
        <v>46</v>
      </c>
      <c r="M406" s="23">
        <v>52</v>
      </c>
      <c r="N406" s="56">
        <v>56</v>
      </c>
      <c r="O406" s="56">
        <v>57</v>
      </c>
      <c r="P406" s="22">
        <f t="shared" si="89"/>
        <v>1</v>
      </c>
      <c r="Q406" s="15">
        <f t="shared" si="90"/>
        <v>1.7543859649122806E-2</v>
      </c>
      <c r="R406" s="23"/>
      <c r="T406" s="7"/>
    </row>
    <row r="407" spans="1:20">
      <c r="A407" s="65"/>
      <c r="D407" s="24" t="s">
        <v>11</v>
      </c>
      <c r="E407" s="13">
        <f>46</f>
        <v>46</v>
      </c>
      <c r="F407" s="13">
        <f>40</f>
        <v>40</v>
      </c>
      <c r="G407" s="13">
        <v>39</v>
      </c>
      <c r="H407" s="13">
        <v>38</v>
      </c>
      <c r="I407" s="13">
        <v>37</v>
      </c>
      <c r="J407" s="23">
        <v>40</v>
      </c>
      <c r="K407" s="23">
        <v>40</v>
      </c>
      <c r="L407" s="23">
        <v>36</v>
      </c>
      <c r="M407" s="23">
        <v>37</v>
      </c>
      <c r="N407" s="56">
        <v>34</v>
      </c>
      <c r="O407" s="56">
        <v>31</v>
      </c>
      <c r="P407" s="22">
        <f t="shared" si="89"/>
        <v>-3</v>
      </c>
      <c r="Q407" s="15">
        <f t="shared" si="90"/>
        <v>-9.6774193548387094E-2</v>
      </c>
      <c r="R407" s="23"/>
      <c r="T407" s="7"/>
    </row>
    <row r="408" spans="1:20">
      <c r="D408" s="24" t="s">
        <v>7</v>
      </c>
      <c r="E408" s="13">
        <f t="shared" ref="E408:H408" si="91">SUM(E404:E407)</f>
        <v>142</v>
      </c>
      <c r="F408" s="13">
        <f t="shared" si="91"/>
        <v>136</v>
      </c>
      <c r="G408" s="13">
        <f t="shared" si="91"/>
        <v>128</v>
      </c>
      <c r="H408" s="13">
        <f t="shared" si="91"/>
        <v>126</v>
      </c>
      <c r="I408" s="13">
        <v>122</v>
      </c>
      <c r="J408" s="13">
        <v>130</v>
      </c>
      <c r="K408" s="13">
        <v>134</v>
      </c>
      <c r="L408" s="13">
        <v>124</v>
      </c>
      <c r="M408" s="13">
        <v>130</v>
      </c>
      <c r="N408" s="56">
        <v>131</v>
      </c>
      <c r="O408" s="56">
        <f>SUBTOTAL(109,O404:O407)</f>
        <v>125</v>
      </c>
      <c r="P408" s="22">
        <f t="shared" si="89"/>
        <v>-6</v>
      </c>
      <c r="Q408" s="15">
        <f t="shared" si="90"/>
        <v>-4.8000000000000001E-2</v>
      </c>
      <c r="R408" s="23"/>
      <c r="T408" s="7"/>
    </row>
    <row r="409" spans="1:20">
      <c r="D409" s="24"/>
      <c r="E409" s="13"/>
      <c r="F409" s="13"/>
      <c r="G409" s="13"/>
      <c r="H409" s="13"/>
      <c r="I409" s="13"/>
      <c r="J409" s="13"/>
      <c r="K409" s="13"/>
      <c r="L409" s="13"/>
      <c r="M409" s="13"/>
      <c r="N409" s="58"/>
      <c r="O409" s="59"/>
      <c r="P409" s="22"/>
      <c r="Q409" s="15"/>
      <c r="R409" s="7"/>
    </row>
    <row r="410" spans="1:20">
      <c r="D410" s="23"/>
      <c r="E410" s="13"/>
      <c r="F410" s="13"/>
      <c r="G410" s="13"/>
      <c r="H410" s="13"/>
      <c r="I410" s="13"/>
      <c r="J410" s="13"/>
      <c r="K410" s="23"/>
      <c r="L410" s="23"/>
      <c r="M410" s="23"/>
      <c r="N410" s="23"/>
      <c r="O410" s="22"/>
      <c r="P410" s="15"/>
      <c r="Q410" s="23"/>
      <c r="R410" s="7"/>
    </row>
    <row r="411" spans="1:20" ht="18.75">
      <c r="B411" s="12" t="s">
        <v>51</v>
      </c>
      <c r="D411" s="23"/>
      <c r="E411" s="13"/>
      <c r="F411" s="13"/>
      <c r="G411" s="13"/>
      <c r="H411" s="13"/>
      <c r="I411" s="13"/>
      <c r="J411" s="13"/>
      <c r="K411" s="23"/>
      <c r="L411" s="23"/>
      <c r="M411" s="23"/>
      <c r="N411" s="23"/>
      <c r="O411" s="22"/>
      <c r="P411" s="15"/>
      <c r="Q411" s="23"/>
      <c r="R411" s="7"/>
    </row>
    <row r="412" spans="1:20">
      <c r="D412" s="23"/>
      <c r="E412" s="13"/>
      <c r="F412" s="13"/>
      <c r="G412" s="13"/>
      <c r="H412" s="13"/>
      <c r="I412" s="13"/>
      <c r="J412" s="13"/>
      <c r="K412" s="23"/>
      <c r="L412" s="23"/>
      <c r="M412" s="23"/>
      <c r="N412" s="23"/>
      <c r="O412" s="22"/>
      <c r="P412" s="15"/>
      <c r="Q412" s="23"/>
      <c r="R412" s="7"/>
    </row>
    <row r="413" spans="1:20" ht="18.75">
      <c r="C413" s="16" t="s">
        <v>52</v>
      </c>
      <c r="D413" s="23"/>
      <c r="E413" s="13"/>
      <c r="F413" s="13"/>
      <c r="G413" s="13"/>
      <c r="H413" s="13"/>
      <c r="I413" s="13"/>
      <c r="J413" s="13"/>
      <c r="K413" s="23"/>
      <c r="L413" s="23"/>
      <c r="M413" s="23"/>
      <c r="N413" s="23"/>
      <c r="O413" s="22"/>
      <c r="P413" s="15"/>
      <c r="Q413" s="23"/>
      <c r="R413" s="7"/>
    </row>
    <row r="414" spans="1:20" ht="15.75">
      <c r="C414" s="16"/>
      <c r="D414" s="17" t="s">
        <v>45</v>
      </c>
      <c r="E414" s="19" t="s">
        <v>2</v>
      </c>
      <c r="F414" s="19" t="s">
        <v>3</v>
      </c>
      <c r="G414" s="19" t="s">
        <v>4</v>
      </c>
      <c r="H414" s="19" t="s">
        <v>5</v>
      </c>
      <c r="I414" s="19" t="s">
        <v>46</v>
      </c>
      <c r="J414" s="18" t="s">
        <v>47</v>
      </c>
      <c r="K414" s="18" t="s">
        <v>42</v>
      </c>
      <c r="L414" s="18" t="s">
        <v>43</v>
      </c>
      <c r="M414" s="18" t="s">
        <v>44</v>
      </c>
      <c r="N414" s="18" t="s">
        <v>54</v>
      </c>
      <c r="O414" s="18" t="s">
        <v>55</v>
      </c>
      <c r="P414" s="20" t="s">
        <v>49</v>
      </c>
      <c r="Q414" s="21" t="s">
        <v>50</v>
      </c>
      <c r="R414" s="23"/>
      <c r="T414" s="7"/>
    </row>
    <row r="415" spans="1:20">
      <c r="D415" s="23" t="s">
        <v>8</v>
      </c>
      <c r="E415" s="25">
        <f>3</f>
        <v>3</v>
      </c>
      <c r="F415" s="25">
        <f>4</f>
        <v>4</v>
      </c>
      <c r="G415" s="25">
        <v>3</v>
      </c>
      <c r="H415" s="25">
        <v>3</v>
      </c>
      <c r="I415" s="25">
        <v>4</v>
      </c>
      <c r="J415" s="26">
        <v>4</v>
      </c>
      <c r="K415" s="45">
        <v>3</v>
      </c>
      <c r="L415" s="45">
        <v>4</v>
      </c>
      <c r="M415" s="45">
        <v>5</v>
      </c>
      <c r="N415" s="45">
        <v>6</v>
      </c>
      <c r="O415" s="45">
        <v>4</v>
      </c>
      <c r="P415" s="22">
        <f t="shared" ref="P415:P419" si="92">O415-N415</f>
        <v>-2</v>
      </c>
      <c r="Q415" s="15">
        <f t="shared" ref="Q415:Q419" si="93">IF(O415&lt;&gt;0,P415/O415,"           -")</f>
        <v>-0.5</v>
      </c>
      <c r="R415" s="23"/>
      <c r="T415" s="7"/>
    </row>
    <row r="416" spans="1:20">
      <c r="D416" s="23" t="s">
        <v>9</v>
      </c>
      <c r="E416" s="25">
        <f>63.63</f>
        <v>63.63</v>
      </c>
      <c r="F416" s="25">
        <f>61.81</f>
        <v>61.81</v>
      </c>
      <c r="G416" s="25">
        <f>59.85+0.17</f>
        <v>60.02</v>
      </c>
      <c r="H416" s="25">
        <v>59</v>
      </c>
      <c r="I416" s="25">
        <v>49</v>
      </c>
      <c r="J416" s="26">
        <v>55</v>
      </c>
      <c r="K416" s="45">
        <v>50</v>
      </c>
      <c r="L416" s="45">
        <v>48</v>
      </c>
      <c r="M416" s="45">
        <v>49</v>
      </c>
      <c r="N416" s="45">
        <v>47</v>
      </c>
      <c r="O416" s="45">
        <v>46</v>
      </c>
      <c r="P416" s="22">
        <f t="shared" si="92"/>
        <v>-1</v>
      </c>
      <c r="Q416" s="15">
        <f t="shared" si="93"/>
        <v>-2.1739130434782608E-2</v>
      </c>
      <c r="R416" s="23"/>
      <c r="T416" s="7"/>
    </row>
    <row r="417" spans="3:20">
      <c r="D417" s="23" t="s">
        <v>10</v>
      </c>
      <c r="E417" s="25">
        <f>27.6 + 1 +8.25</f>
        <v>36.85</v>
      </c>
      <c r="F417" s="25">
        <f>29.6+6.65+0.5+3.25</f>
        <v>40</v>
      </c>
      <c r="G417" s="25">
        <f>27.1+7.25+0.5</f>
        <v>34.85</v>
      </c>
      <c r="H417" s="25">
        <v>34</v>
      </c>
      <c r="I417" s="25">
        <v>36</v>
      </c>
      <c r="J417" s="26">
        <v>36</v>
      </c>
      <c r="K417" s="45">
        <v>41</v>
      </c>
      <c r="L417" s="45">
        <v>39</v>
      </c>
      <c r="M417" s="45">
        <v>42</v>
      </c>
      <c r="N417" s="45">
        <v>43</v>
      </c>
      <c r="O417" s="45">
        <v>43</v>
      </c>
      <c r="P417" s="22">
        <f t="shared" si="92"/>
        <v>0</v>
      </c>
      <c r="Q417" s="15">
        <f t="shared" si="93"/>
        <v>0</v>
      </c>
      <c r="R417" s="23"/>
      <c r="T417" s="7"/>
    </row>
    <row r="418" spans="3:20">
      <c r="D418" s="23" t="s">
        <v>11</v>
      </c>
      <c r="E418" s="25">
        <f>42.55</f>
        <v>42.55</v>
      </c>
      <c r="F418" s="25">
        <f>36.8 + 1</f>
        <v>37.799999999999997</v>
      </c>
      <c r="G418" s="25">
        <v>36.799999999999997</v>
      </c>
      <c r="H418" s="25">
        <v>35</v>
      </c>
      <c r="I418" s="25">
        <v>35</v>
      </c>
      <c r="J418" s="26">
        <v>37</v>
      </c>
      <c r="K418" s="45">
        <v>37</v>
      </c>
      <c r="L418" s="45">
        <v>34</v>
      </c>
      <c r="M418" s="45">
        <v>33</v>
      </c>
      <c r="N418" s="45">
        <v>31</v>
      </c>
      <c r="O418" s="45">
        <v>30</v>
      </c>
      <c r="P418" s="22">
        <f t="shared" si="92"/>
        <v>-1</v>
      </c>
      <c r="Q418" s="15">
        <f t="shared" si="93"/>
        <v>-3.3333333333333333E-2</v>
      </c>
      <c r="R418" s="23"/>
      <c r="T418" s="7"/>
    </row>
    <row r="419" spans="3:20">
      <c r="D419" s="23" t="s">
        <v>7</v>
      </c>
      <c r="E419" s="13">
        <f t="shared" ref="E419:H419" si="94">SUM(E415:E418)</f>
        <v>146.02999999999997</v>
      </c>
      <c r="F419" s="13">
        <f t="shared" si="94"/>
        <v>143.61000000000001</v>
      </c>
      <c r="G419" s="13">
        <f t="shared" si="94"/>
        <v>134.67000000000002</v>
      </c>
      <c r="H419" s="13">
        <f t="shared" si="94"/>
        <v>131</v>
      </c>
      <c r="I419" s="13">
        <v>124</v>
      </c>
      <c r="J419" s="13">
        <v>132</v>
      </c>
      <c r="K419" s="13">
        <v>131</v>
      </c>
      <c r="L419" s="13">
        <v>125</v>
      </c>
      <c r="M419" s="13">
        <v>129</v>
      </c>
      <c r="N419" s="13">
        <v>127</v>
      </c>
      <c r="O419" s="13">
        <f>SUBTOTAL(109,O415:O418)</f>
        <v>123</v>
      </c>
      <c r="P419" s="22">
        <f t="shared" si="92"/>
        <v>-4</v>
      </c>
      <c r="Q419" s="15">
        <f t="shared" si="93"/>
        <v>-3.2520325203252036E-2</v>
      </c>
      <c r="R419" s="23"/>
      <c r="T419" s="7"/>
    </row>
    <row r="420" spans="3:20">
      <c r="D420" s="23"/>
      <c r="E420" s="13"/>
      <c r="F420" s="25"/>
      <c r="G420" s="25"/>
      <c r="H420" s="25"/>
      <c r="I420" s="25"/>
      <c r="J420" s="25"/>
      <c r="K420" s="39"/>
      <c r="L420" s="39"/>
      <c r="M420" s="39"/>
      <c r="N420" s="39"/>
      <c r="O420" s="22"/>
      <c r="P420" s="15"/>
      <c r="Q420" s="23"/>
      <c r="R420" s="7"/>
    </row>
    <row r="421" spans="3:20" ht="18.75">
      <c r="C421" s="16" t="s">
        <v>53</v>
      </c>
      <c r="D421" s="23"/>
      <c r="E421" s="13"/>
      <c r="F421" s="25"/>
      <c r="G421" s="25"/>
      <c r="H421" s="25"/>
      <c r="I421" s="25"/>
      <c r="J421" s="25"/>
      <c r="K421" s="39"/>
      <c r="L421" s="39"/>
      <c r="M421" s="39"/>
      <c r="N421" s="39"/>
      <c r="O421" s="22"/>
      <c r="P421" s="15"/>
      <c r="Q421" s="23"/>
      <c r="R421" s="7"/>
    </row>
    <row r="422" spans="3:20" ht="15.75">
      <c r="C422" s="16"/>
      <c r="D422" s="17" t="s">
        <v>45</v>
      </c>
      <c r="E422" s="19" t="s">
        <v>2</v>
      </c>
      <c r="F422" s="19" t="s">
        <v>3</v>
      </c>
      <c r="G422" s="19" t="s">
        <v>4</v>
      </c>
      <c r="H422" s="19" t="s">
        <v>5</v>
      </c>
      <c r="I422" s="19" t="s">
        <v>46</v>
      </c>
      <c r="J422" s="18" t="s">
        <v>47</v>
      </c>
      <c r="K422" s="18" t="s">
        <v>42</v>
      </c>
      <c r="L422" s="18" t="s">
        <v>43</v>
      </c>
      <c r="M422" s="18" t="s">
        <v>44</v>
      </c>
      <c r="N422" s="18" t="s">
        <v>54</v>
      </c>
      <c r="O422" s="18" t="s">
        <v>55</v>
      </c>
      <c r="P422" s="20" t="s">
        <v>49</v>
      </c>
      <c r="Q422" s="21" t="s">
        <v>50</v>
      </c>
      <c r="R422" s="23"/>
      <c r="T422" s="7"/>
    </row>
    <row r="423" spans="3:20">
      <c r="D423" s="23" t="s">
        <v>8</v>
      </c>
      <c r="E423" s="25">
        <f t="shared" ref="E423:G426" si="95">E431-E415</f>
        <v>0</v>
      </c>
      <c r="F423" s="25">
        <f t="shared" si="95"/>
        <v>0</v>
      </c>
      <c r="G423" s="25">
        <f t="shared" si="95"/>
        <v>0</v>
      </c>
      <c r="H423" s="25">
        <v>0</v>
      </c>
      <c r="I423" s="25">
        <v>0</v>
      </c>
      <c r="J423" s="29">
        <v>0</v>
      </c>
      <c r="K423" s="46">
        <v>1</v>
      </c>
      <c r="L423" s="46">
        <v>1</v>
      </c>
      <c r="M423" s="46">
        <v>1</v>
      </c>
      <c r="N423" s="46">
        <v>0</v>
      </c>
      <c r="O423" s="46">
        <v>1</v>
      </c>
      <c r="P423" s="22">
        <f t="shared" ref="P423:P427" si="96">O423-N423</f>
        <v>1</v>
      </c>
      <c r="Q423" s="15">
        <f t="shared" ref="Q423:Q427" si="97">IF(O423&lt;&gt;0,P423/O423,"           -")</f>
        <v>1</v>
      </c>
      <c r="R423" s="23"/>
      <c r="T423" s="7"/>
    </row>
    <row r="424" spans="3:20">
      <c r="D424" s="23" t="s">
        <v>9</v>
      </c>
      <c r="E424" s="25">
        <f t="shared" si="95"/>
        <v>1.2499999999999929</v>
      </c>
      <c r="F424" s="25">
        <f t="shared" si="95"/>
        <v>0</v>
      </c>
      <c r="G424" s="25">
        <f t="shared" si="95"/>
        <v>0</v>
      </c>
      <c r="H424" s="25">
        <v>0</v>
      </c>
      <c r="I424" s="25">
        <v>0</v>
      </c>
      <c r="J424" s="29">
        <v>1</v>
      </c>
      <c r="K424" s="46">
        <v>1</v>
      </c>
      <c r="L424" s="46">
        <v>3</v>
      </c>
      <c r="M424" s="46">
        <v>1</v>
      </c>
      <c r="N424" s="46">
        <v>2</v>
      </c>
      <c r="O424" s="46">
        <v>1</v>
      </c>
      <c r="P424" s="22">
        <f t="shared" si="96"/>
        <v>-1</v>
      </c>
      <c r="Q424" s="15">
        <f t="shared" si="97"/>
        <v>-1</v>
      </c>
      <c r="R424" s="23"/>
      <c r="T424" s="7"/>
    </row>
    <row r="425" spans="3:20">
      <c r="D425" s="23" t="s">
        <v>10</v>
      </c>
      <c r="E425" s="25">
        <f t="shared" si="95"/>
        <v>13.75</v>
      </c>
      <c r="F425" s="25">
        <f t="shared" si="95"/>
        <v>12.879999999999995</v>
      </c>
      <c r="G425" s="25">
        <f t="shared" si="95"/>
        <v>14.129999999999995</v>
      </c>
      <c r="H425" s="25">
        <v>15</v>
      </c>
      <c r="I425" s="25">
        <v>12</v>
      </c>
      <c r="J425" s="29">
        <v>13</v>
      </c>
      <c r="K425" s="46">
        <v>14</v>
      </c>
      <c r="L425" s="46">
        <v>15</v>
      </c>
      <c r="M425" s="46">
        <v>13</v>
      </c>
      <c r="N425" s="46">
        <v>15</v>
      </c>
      <c r="O425" s="46">
        <v>15</v>
      </c>
      <c r="P425" s="22">
        <f t="shared" si="96"/>
        <v>0</v>
      </c>
      <c r="Q425" s="15">
        <f t="shared" si="97"/>
        <v>0</v>
      </c>
      <c r="R425" s="23"/>
      <c r="T425" s="7"/>
    </row>
    <row r="426" spans="3:20">
      <c r="D426" s="23" t="s">
        <v>11</v>
      </c>
      <c r="E426" s="25">
        <f t="shared" si="95"/>
        <v>5.4500000000000028</v>
      </c>
      <c r="F426" s="25">
        <f t="shared" si="95"/>
        <v>3.7000000000000028</v>
      </c>
      <c r="G426" s="25">
        <f t="shared" si="95"/>
        <v>3.7000000000000028</v>
      </c>
      <c r="H426" s="25">
        <v>5</v>
      </c>
      <c r="I426" s="25">
        <v>5</v>
      </c>
      <c r="J426" s="29">
        <v>6</v>
      </c>
      <c r="K426" s="46">
        <v>5</v>
      </c>
      <c r="L426" s="46">
        <v>4</v>
      </c>
      <c r="M426" s="46">
        <v>6</v>
      </c>
      <c r="N426" s="46">
        <v>4</v>
      </c>
      <c r="O426" s="46">
        <v>3</v>
      </c>
      <c r="P426" s="22">
        <f t="shared" si="96"/>
        <v>-1</v>
      </c>
      <c r="Q426" s="15">
        <f t="shared" si="97"/>
        <v>-0.33333333333333331</v>
      </c>
      <c r="R426" s="23"/>
      <c r="T426" s="7"/>
    </row>
    <row r="427" spans="3:20">
      <c r="D427" s="23" t="s">
        <v>7</v>
      </c>
      <c r="E427" s="25">
        <f t="shared" ref="E427:H427" si="98">SUM(E423:E426)</f>
        <v>20.449999999999996</v>
      </c>
      <c r="F427" s="25">
        <f t="shared" si="98"/>
        <v>16.579999999999998</v>
      </c>
      <c r="G427" s="25">
        <f t="shared" si="98"/>
        <v>17.829999999999998</v>
      </c>
      <c r="H427" s="25">
        <f t="shared" si="98"/>
        <v>20</v>
      </c>
      <c r="I427" s="25">
        <v>17</v>
      </c>
      <c r="J427" s="25">
        <v>20</v>
      </c>
      <c r="K427" s="25">
        <v>21</v>
      </c>
      <c r="L427" s="25">
        <v>23</v>
      </c>
      <c r="M427" s="25">
        <v>21</v>
      </c>
      <c r="N427" s="25">
        <v>21</v>
      </c>
      <c r="O427" s="25">
        <f>SUBTOTAL(109,O423:O426)</f>
        <v>20</v>
      </c>
      <c r="P427" s="22">
        <f t="shared" si="96"/>
        <v>-1</v>
      </c>
      <c r="Q427" s="15">
        <f t="shared" si="97"/>
        <v>-0.05</v>
      </c>
      <c r="R427" s="23"/>
      <c r="T427" s="7"/>
    </row>
    <row r="428" spans="3:20">
      <c r="D428" s="23"/>
      <c r="E428" s="13"/>
      <c r="F428" s="25"/>
      <c r="G428" s="25"/>
      <c r="H428" s="25"/>
      <c r="I428" s="25"/>
      <c r="J428" s="25"/>
      <c r="K428" s="23"/>
      <c r="L428" s="23"/>
      <c r="M428" s="23"/>
      <c r="N428" s="23"/>
      <c r="O428" s="22"/>
      <c r="P428" s="15"/>
      <c r="Q428" s="23"/>
      <c r="R428" s="7"/>
    </row>
    <row r="429" spans="3:20" ht="15.75">
      <c r="C429" s="16" t="s">
        <v>17</v>
      </c>
      <c r="D429" s="23"/>
      <c r="E429" s="13"/>
      <c r="F429" s="25"/>
      <c r="G429" s="25"/>
      <c r="H429" s="25"/>
      <c r="I429" s="25"/>
      <c r="J429" s="25"/>
      <c r="K429" s="23"/>
      <c r="L429" s="23"/>
      <c r="M429" s="23"/>
      <c r="N429" s="23"/>
      <c r="O429" s="22"/>
      <c r="P429" s="15"/>
      <c r="Q429" s="23"/>
      <c r="R429" s="7"/>
    </row>
    <row r="430" spans="3:20" ht="15.75">
      <c r="C430" s="16"/>
      <c r="D430" s="17" t="s">
        <v>45</v>
      </c>
      <c r="E430" s="19" t="s">
        <v>2</v>
      </c>
      <c r="F430" s="19" t="s">
        <v>3</v>
      </c>
      <c r="G430" s="19" t="s">
        <v>4</v>
      </c>
      <c r="H430" s="19" t="s">
        <v>5</v>
      </c>
      <c r="I430" s="19" t="s">
        <v>46</v>
      </c>
      <c r="J430" s="18" t="s">
        <v>47</v>
      </c>
      <c r="K430" s="18" t="s">
        <v>42</v>
      </c>
      <c r="L430" s="18" t="s">
        <v>43</v>
      </c>
      <c r="M430" s="18" t="s">
        <v>44</v>
      </c>
      <c r="N430" s="18" t="s">
        <v>54</v>
      </c>
      <c r="O430" s="18" t="s">
        <v>55</v>
      </c>
      <c r="P430" s="20" t="s">
        <v>49</v>
      </c>
      <c r="Q430" s="21" t="s">
        <v>50</v>
      </c>
      <c r="R430" s="23"/>
      <c r="T430" s="7"/>
    </row>
    <row r="431" spans="3:20">
      <c r="D431" s="23" t="s">
        <v>8</v>
      </c>
      <c r="E431" s="25">
        <f>3</f>
        <v>3</v>
      </c>
      <c r="F431" s="25">
        <v>4</v>
      </c>
      <c r="G431" s="25">
        <v>3</v>
      </c>
      <c r="H431" s="25">
        <f>H423+H415</f>
        <v>3</v>
      </c>
      <c r="I431" s="25">
        <v>4</v>
      </c>
      <c r="J431" s="25">
        <v>4</v>
      </c>
      <c r="K431" s="25">
        <v>4</v>
      </c>
      <c r="L431" s="25">
        <v>5</v>
      </c>
      <c r="M431" s="25">
        <v>6</v>
      </c>
      <c r="N431" s="25">
        <v>6</v>
      </c>
      <c r="O431" s="25">
        <v>5</v>
      </c>
      <c r="P431" s="22">
        <f t="shared" ref="P431:P435" si="99">O431-N431</f>
        <v>-1</v>
      </c>
      <c r="Q431" s="15">
        <f t="shared" ref="Q431:Q435" si="100">IF(O431&lt;&gt;0,P431/O431,"           -")</f>
        <v>-0.2</v>
      </c>
      <c r="R431" s="23"/>
      <c r="T431" s="7"/>
    </row>
    <row r="432" spans="3:20">
      <c r="D432" s="23" t="s">
        <v>9</v>
      </c>
      <c r="E432" s="25">
        <f>64.88</f>
        <v>64.88</v>
      </c>
      <c r="F432" s="25">
        <v>61.81</v>
      </c>
      <c r="G432" s="25">
        <v>60.02</v>
      </c>
      <c r="H432" s="25">
        <f>H424+H416</f>
        <v>59</v>
      </c>
      <c r="I432" s="25">
        <v>49</v>
      </c>
      <c r="J432" s="25">
        <v>56</v>
      </c>
      <c r="K432" s="25">
        <v>51</v>
      </c>
      <c r="L432" s="25">
        <v>51</v>
      </c>
      <c r="M432" s="25">
        <v>50</v>
      </c>
      <c r="N432" s="25">
        <v>49</v>
      </c>
      <c r="O432" s="25">
        <v>47</v>
      </c>
      <c r="P432" s="22">
        <f t="shared" si="99"/>
        <v>-2</v>
      </c>
      <c r="Q432" s="15">
        <f t="shared" si="100"/>
        <v>-4.2553191489361701E-2</v>
      </c>
      <c r="S432" s="10"/>
      <c r="T432" s="7"/>
    </row>
    <row r="433" spans="2:20">
      <c r="D433" s="23" t="s">
        <v>10</v>
      </c>
      <c r="E433" s="25">
        <f>38.6 + 12</f>
        <v>50.6</v>
      </c>
      <c r="F433" s="25">
        <f>42.48 + 10.4</f>
        <v>52.879999999999995</v>
      </c>
      <c r="G433" s="25">
        <f>37.98+11</f>
        <v>48.98</v>
      </c>
      <c r="H433" s="25">
        <f>H425+H417</f>
        <v>49</v>
      </c>
      <c r="I433" s="25">
        <v>48</v>
      </c>
      <c r="J433" s="25">
        <v>49</v>
      </c>
      <c r="K433" s="25">
        <v>55</v>
      </c>
      <c r="L433" s="25">
        <v>54</v>
      </c>
      <c r="M433" s="25">
        <v>55</v>
      </c>
      <c r="N433" s="25">
        <v>58</v>
      </c>
      <c r="O433" s="25">
        <v>58</v>
      </c>
      <c r="P433" s="22">
        <f t="shared" si="99"/>
        <v>0</v>
      </c>
      <c r="Q433" s="15">
        <f t="shared" si="100"/>
        <v>0</v>
      </c>
      <c r="S433" s="10"/>
      <c r="T433" s="7"/>
    </row>
    <row r="434" spans="2:20">
      <c r="D434" s="23" t="s">
        <v>11</v>
      </c>
      <c r="E434" s="25">
        <f>48</f>
        <v>48</v>
      </c>
      <c r="F434" s="25">
        <f>41.5</f>
        <v>41.5</v>
      </c>
      <c r="G434" s="25">
        <v>40.5</v>
      </c>
      <c r="H434" s="25">
        <f>H426+H418</f>
        <v>40</v>
      </c>
      <c r="I434" s="25">
        <v>40</v>
      </c>
      <c r="J434" s="25">
        <v>43</v>
      </c>
      <c r="K434" s="25">
        <v>42</v>
      </c>
      <c r="L434" s="25">
        <v>38</v>
      </c>
      <c r="M434" s="25">
        <v>39</v>
      </c>
      <c r="N434" s="25">
        <v>35</v>
      </c>
      <c r="O434" s="25">
        <v>33</v>
      </c>
      <c r="P434" s="22">
        <f t="shared" si="99"/>
        <v>-2</v>
      </c>
      <c r="Q434" s="15">
        <f t="shared" si="100"/>
        <v>-6.0606060606060608E-2</v>
      </c>
      <c r="S434" s="10"/>
      <c r="T434" s="7"/>
    </row>
    <row r="435" spans="2:20">
      <c r="D435" s="23" t="s">
        <v>7</v>
      </c>
      <c r="E435" s="13">
        <f t="shared" ref="E435:H435" si="101">SUM(E431:E434)</f>
        <v>166.48</v>
      </c>
      <c r="F435" s="13">
        <f t="shared" si="101"/>
        <v>160.19</v>
      </c>
      <c r="G435" s="13">
        <f t="shared" si="101"/>
        <v>152.5</v>
      </c>
      <c r="H435" s="13">
        <f t="shared" si="101"/>
        <v>151</v>
      </c>
      <c r="I435" s="13">
        <v>141</v>
      </c>
      <c r="J435" s="13">
        <v>152</v>
      </c>
      <c r="K435" s="13">
        <v>152</v>
      </c>
      <c r="L435" s="13">
        <v>148</v>
      </c>
      <c r="M435" s="13">
        <v>150</v>
      </c>
      <c r="N435" s="13">
        <v>148</v>
      </c>
      <c r="O435" s="13">
        <f>SUBTOTAL(109,O431:O434)</f>
        <v>143</v>
      </c>
      <c r="P435" s="22">
        <f t="shared" si="99"/>
        <v>-5</v>
      </c>
      <c r="Q435" s="15">
        <f t="shared" si="100"/>
        <v>-3.4965034965034968E-2</v>
      </c>
      <c r="S435" s="10"/>
      <c r="T435" s="7"/>
    </row>
    <row r="436" spans="2:20"/>
    <row r="437" spans="2:20">
      <c r="B437" s="7" t="str">
        <f>"_________________________"</f>
        <v>_________________________</v>
      </c>
    </row>
    <row r="438" spans="2:20" ht="18">
      <c r="C438" s="67">
        <v>1</v>
      </c>
      <c r="D438" s="7" t="s">
        <v>18</v>
      </c>
    </row>
    <row r="439" spans="2:20" ht="18">
      <c r="C439" s="67">
        <v>2</v>
      </c>
      <c r="D439" s="7" t="s">
        <v>19</v>
      </c>
    </row>
    <row r="440" spans="2:20" ht="18">
      <c r="C440" s="67"/>
      <c r="D440" s="7" t="s">
        <v>20</v>
      </c>
    </row>
    <row r="441" spans="2:20" ht="18">
      <c r="C441" s="67">
        <v>3</v>
      </c>
      <c r="D441" s="7" t="s">
        <v>21</v>
      </c>
    </row>
    <row r="442" spans="2:20">
      <c r="D442" s="7" t="s">
        <v>22</v>
      </c>
    </row>
    <row r="443" spans="2:20">
      <c r="D443" s="7" t="s">
        <v>23</v>
      </c>
    </row>
    <row r="444" spans="2:20" ht="18">
      <c r="C444" s="67">
        <v>4</v>
      </c>
      <c r="D444" s="7" t="s">
        <v>24</v>
      </c>
    </row>
    <row r="445" spans="2:20" ht="18">
      <c r="C445" s="67"/>
    </row>
    <row r="446" spans="2:20" ht="18">
      <c r="C446" s="67"/>
    </row>
    <row r="447" spans="2:20" ht="18">
      <c r="C447" s="67"/>
    </row>
    <row r="448" spans="2:20" ht="18">
      <c r="C448" s="67"/>
    </row>
    <row r="449" spans="2:20" ht="18">
      <c r="C449" s="67"/>
    </row>
    <row r="450" spans="2:20">
      <c r="B450" s="7" t="s">
        <v>25</v>
      </c>
    </row>
    <row r="451" spans="2:20">
      <c r="B451" s="7" t="str">
        <f>B75</f>
        <v>November 13, 2023</v>
      </c>
    </row>
    <row r="452" spans="2:20" ht="15.75">
      <c r="Q452" s="8"/>
      <c r="R452" s="8"/>
    </row>
    <row r="453" spans="2:20" ht="15.75">
      <c r="Q453" s="8"/>
      <c r="R453" s="8"/>
    </row>
    <row r="454" spans="2:20">
      <c r="Q454" s="53"/>
      <c r="R454" s="7"/>
    </row>
    <row r="455" spans="2:20">
      <c r="Q455" s="53"/>
      <c r="R455" s="7"/>
    </row>
    <row r="456" spans="2:20" ht="15.75">
      <c r="C456" s="8"/>
      <c r="D456" s="8"/>
      <c r="E456" s="8"/>
      <c r="F456" s="8"/>
      <c r="G456" s="8"/>
      <c r="H456" s="8"/>
      <c r="I456" s="40"/>
      <c r="J456" s="9" t="s">
        <v>26</v>
      </c>
      <c r="K456" s="8"/>
      <c r="L456" s="8"/>
      <c r="M456" s="8"/>
      <c r="N456" s="8"/>
      <c r="O456" s="8"/>
      <c r="P456" s="8"/>
      <c r="Q456" s="7"/>
      <c r="R456" s="7"/>
    </row>
    <row r="457" spans="2:20" ht="15.75">
      <c r="C457" s="8"/>
      <c r="D457" s="8"/>
      <c r="E457" s="8"/>
      <c r="F457" s="8"/>
      <c r="G457" s="8"/>
      <c r="H457" s="8"/>
      <c r="I457" s="40"/>
      <c r="J457" s="9" t="s">
        <v>33</v>
      </c>
      <c r="K457" s="8"/>
      <c r="L457" s="8"/>
      <c r="M457" s="8"/>
      <c r="N457" s="8"/>
      <c r="O457" s="8"/>
      <c r="P457" s="8"/>
      <c r="Q457" s="7"/>
      <c r="R457" s="7"/>
    </row>
    <row r="458" spans="2:20"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14"/>
      <c r="P458" s="14"/>
      <c r="Q458" s="7"/>
      <c r="R458" s="7"/>
    </row>
    <row r="459" spans="2:20" ht="15.75">
      <c r="E459" s="44"/>
      <c r="F459" s="44"/>
      <c r="I459" s="13"/>
      <c r="J459" s="13"/>
      <c r="K459" s="13"/>
      <c r="L459" s="7"/>
      <c r="M459" s="7"/>
      <c r="N459" s="7"/>
      <c r="O459" s="14"/>
      <c r="P459" s="14"/>
      <c r="Q459" s="7"/>
      <c r="R459" s="7"/>
    </row>
    <row r="460" spans="2:20" ht="18.75">
      <c r="B460" s="12" t="s">
        <v>48</v>
      </c>
      <c r="E460" s="13"/>
      <c r="H460" s="13"/>
      <c r="I460" s="13"/>
      <c r="J460" s="13"/>
      <c r="K460" s="7"/>
      <c r="L460" s="7"/>
      <c r="M460" s="7"/>
      <c r="N460" s="7"/>
      <c r="O460" s="14"/>
      <c r="P460" s="15"/>
      <c r="Q460" s="7"/>
      <c r="R460" s="7"/>
    </row>
    <row r="461" spans="2:20">
      <c r="E461" s="13"/>
      <c r="H461" s="13"/>
      <c r="I461" s="13"/>
      <c r="J461" s="13"/>
      <c r="K461" s="7"/>
      <c r="L461" s="7"/>
      <c r="M461" s="7"/>
      <c r="N461" s="7"/>
      <c r="O461" s="14"/>
      <c r="P461" s="15"/>
      <c r="Q461" s="7"/>
      <c r="R461" s="7"/>
    </row>
    <row r="462" spans="2:20" ht="15.75">
      <c r="C462" s="16" t="s">
        <v>6</v>
      </c>
      <c r="E462" s="13"/>
      <c r="H462" s="13"/>
      <c r="I462" s="13"/>
      <c r="J462" s="13"/>
      <c r="K462" s="7"/>
      <c r="L462" s="7"/>
      <c r="M462" s="7"/>
      <c r="N462" s="7"/>
      <c r="O462" s="14"/>
      <c r="P462" s="15"/>
      <c r="Q462" s="7"/>
      <c r="R462" s="7"/>
    </row>
    <row r="463" spans="2:20" ht="15.75">
      <c r="C463" s="16"/>
      <c r="D463" s="17" t="s">
        <v>45</v>
      </c>
      <c r="E463" s="19" t="s">
        <v>2</v>
      </c>
      <c r="F463" s="19" t="s">
        <v>3</v>
      </c>
      <c r="G463" s="19" t="s">
        <v>4</v>
      </c>
      <c r="H463" s="19" t="s">
        <v>5</v>
      </c>
      <c r="I463" s="19" t="s">
        <v>46</v>
      </c>
      <c r="J463" s="18" t="s">
        <v>47</v>
      </c>
      <c r="K463" s="18" t="s">
        <v>42</v>
      </c>
      <c r="L463" s="18" t="s">
        <v>43</v>
      </c>
      <c r="M463" s="18" t="s">
        <v>44</v>
      </c>
      <c r="N463" s="18" t="s">
        <v>54</v>
      </c>
      <c r="O463" s="18" t="s">
        <v>55</v>
      </c>
      <c r="P463" s="20" t="s">
        <v>49</v>
      </c>
      <c r="Q463" s="21" t="s">
        <v>50</v>
      </c>
      <c r="R463" s="7"/>
      <c r="T463" s="7"/>
    </row>
    <row r="464" spans="2:20">
      <c r="D464" s="23" t="s">
        <v>7</v>
      </c>
      <c r="E464" s="13">
        <v>60</v>
      </c>
      <c r="F464" s="13">
        <v>45</v>
      </c>
      <c r="G464" s="13">
        <v>43</v>
      </c>
      <c r="H464" s="13">
        <v>44</v>
      </c>
      <c r="I464" s="13">
        <v>44</v>
      </c>
      <c r="J464" s="13">
        <v>46</v>
      </c>
      <c r="K464" s="13">
        <v>44</v>
      </c>
      <c r="L464" s="13">
        <v>46</v>
      </c>
      <c r="M464" s="13">
        <v>44</v>
      </c>
      <c r="N464" s="13">
        <v>54</v>
      </c>
      <c r="O464" s="13">
        <v>52</v>
      </c>
      <c r="P464" s="22">
        <f t="shared" ref="P464:P475" si="102">O464-N464</f>
        <v>-2</v>
      </c>
      <c r="Q464" s="15">
        <f t="shared" ref="Q464" si="103">IF(O464&lt;&gt;0,P464/O464,"           -")</f>
        <v>-3.8461538461538464E-2</v>
      </c>
      <c r="R464" s="7"/>
      <c r="T464" s="7"/>
    </row>
    <row r="465" spans="3:20">
      <c r="D465" s="23"/>
      <c r="E465" s="13"/>
      <c r="F465" s="13"/>
      <c r="G465" s="13"/>
      <c r="H465" s="13"/>
      <c r="I465" s="13"/>
      <c r="J465" s="23"/>
      <c r="K465" s="23"/>
      <c r="L465" s="23"/>
      <c r="M465" s="23"/>
      <c r="N465" s="23"/>
      <c r="O465" s="23"/>
      <c r="P465" s="22"/>
      <c r="Q465" s="15"/>
      <c r="R465" s="7"/>
      <c r="T465" s="7"/>
    </row>
    <row r="466" spans="3:20">
      <c r="D466" s="23" t="s">
        <v>8</v>
      </c>
      <c r="E466" s="13">
        <v>1</v>
      </c>
      <c r="F466" s="13">
        <v>1</v>
      </c>
      <c r="G466" s="13">
        <v>1</v>
      </c>
      <c r="H466" s="13">
        <v>1</v>
      </c>
      <c r="I466" s="13">
        <v>1</v>
      </c>
      <c r="J466" s="23">
        <v>1</v>
      </c>
      <c r="K466" s="23">
        <v>1</v>
      </c>
      <c r="L466" s="23">
        <v>1</v>
      </c>
      <c r="M466" s="23">
        <v>2</v>
      </c>
      <c r="N466" s="23">
        <v>4</v>
      </c>
      <c r="O466" s="23">
        <v>4</v>
      </c>
      <c r="P466" s="22">
        <f t="shared" si="102"/>
        <v>0</v>
      </c>
      <c r="Q466" s="15">
        <f>IF(O466&lt;&gt;0,P466/O466,"           -")</f>
        <v>0</v>
      </c>
      <c r="R466" s="7"/>
      <c r="T466" s="7"/>
    </row>
    <row r="467" spans="3:20">
      <c r="D467" s="23" t="s">
        <v>9</v>
      </c>
      <c r="E467" s="13">
        <v>23</v>
      </c>
      <c r="F467" s="13">
        <v>19</v>
      </c>
      <c r="G467" s="13">
        <v>19</v>
      </c>
      <c r="H467" s="13">
        <v>18</v>
      </c>
      <c r="I467" s="13">
        <v>19</v>
      </c>
      <c r="J467" s="23">
        <v>19</v>
      </c>
      <c r="K467" s="23">
        <v>17</v>
      </c>
      <c r="L467" s="23">
        <v>19</v>
      </c>
      <c r="M467" s="23">
        <v>17</v>
      </c>
      <c r="N467" s="23">
        <v>20</v>
      </c>
      <c r="O467" s="23">
        <v>23</v>
      </c>
      <c r="P467" s="22">
        <f t="shared" si="102"/>
        <v>3</v>
      </c>
      <c r="Q467" s="15">
        <f>IF(O467&lt;&gt;0,P467/O467,"           -")</f>
        <v>0.13043478260869565</v>
      </c>
      <c r="R467" s="7"/>
      <c r="T467" s="7"/>
    </row>
    <row r="468" spans="3:20">
      <c r="D468" s="23" t="s">
        <v>10</v>
      </c>
      <c r="E468" s="13">
        <v>21</v>
      </c>
      <c r="F468" s="13">
        <v>16</v>
      </c>
      <c r="G468" s="13">
        <v>17</v>
      </c>
      <c r="H468" s="13">
        <v>22</v>
      </c>
      <c r="I468" s="13">
        <v>21</v>
      </c>
      <c r="J468" s="23">
        <v>24</v>
      </c>
      <c r="K468" s="23">
        <v>25</v>
      </c>
      <c r="L468" s="23">
        <v>25</v>
      </c>
      <c r="M468" s="23">
        <v>23</v>
      </c>
      <c r="N468" s="23">
        <v>28</v>
      </c>
      <c r="O468" s="23">
        <v>25</v>
      </c>
      <c r="P468" s="22">
        <f t="shared" si="102"/>
        <v>-3</v>
      </c>
      <c r="Q468" s="15">
        <f>IF(O468&lt;&gt;0,P468/O468,"           -")</f>
        <v>-0.12</v>
      </c>
      <c r="R468" s="7"/>
      <c r="T468" s="7"/>
    </row>
    <row r="469" spans="3:20">
      <c r="D469" s="23" t="s">
        <v>11</v>
      </c>
      <c r="E469" s="13">
        <v>15</v>
      </c>
      <c r="F469" s="13">
        <v>9</v>
      </c>
      <c r="G469" s="13">
        <v>6</v>
      </c>
      <c r="H469" s="13">
        <v>3</v>
      </c>
      <c r="I469" s="13">
        <v>3</v>
      </c>
      <c r="J469" s="23">
        <v>2</v>
      </c>
      <c r="K469" s="23">
        <v>1</v>
      </c>
      <c r="L469" s="23">
        <v>1</v>
      </c>
      <c r="M469" s="23">
        <v>2</v>
      </c>
      <c r="N469" s="23">
        <v>2</v>
      </c>
      <c r="O469" s="23">
        <v>0</v>
      </c>
      <c r="P469" s="22">
        <f t="shared" si="102"/>
        <v>-2</v>
      </c>
      <c r="Q469" s="15" t="str">
        <f>IF(O469&lt;&gt;0,P469/O469,"           -")</f>
        <v xml:space="preserve">           -</v>
      </c>
      <c r="R469" s="7"/>
      <c r="T469" s="7"/>
    </row>
    <row r="470" spans="3:20">
      <c r="D470" s="23"/>
      <c r="E470" s="13"/>
      <c r="F470" s="13"/>
      <c r="G470" s="13"/>
      <c r="H470" s="13"/>
      <c r="I470" s="13"/>
      <c r="J470" s="23"/>
      <c r="K470" s="23"/>
      <c r="L470" s="23"/>
      <c r="M470" s="23"/>
      <c r="N470" s="23"/>
      <c r="O470" s="23"/>
      <c r="P470" s="22"/>
      <c r="Q470" s="15"/>
      <c r="R470" s="7"/>
      <c r="T470" s="7"/>
    </row>
    <row r="471" spans="3:20">
      <c r="D471" s="23" t="s">
        <v>12</v>
      </c>
      <c r="E471" s="13">
        <v>53</v>
      </c>
      <c r="F471" s="13">
        <v>40</v>
      </c>
      <c r="G471" s="13">
        <v>40</v>
      </c>
      <c r="H471" s="13">
        <v>41</v>
      </c>
      <c r="I471" s="13">
        <v>40</v>
      </c>
      <c r="J471" s="77">
        <v>42</v>
      </c>
      <c r="K471" s="77">
        <v>40</v>
      </c>
      <c r="L471" s="77">
        <v>44</v>
      </c>
      <c r="M471" s="77">
        <v>40</v>
      </c>
      <c r="N471" s="77">
        <v>47</v>
      </c>
      <c r="O471" s="77">
        <v>49</v>
      </c>
      <c r="P471" s="22">
        <f t="shared" si="102"/>
        <v>2</v>
      </c>
      <c r="Q471" s="15">
        <f t="shared" ref="Q471:Q472" si="104">IF(O471&lt;&gt;0,P471/O471,"           -")</f>
        <v>4.0816326530612242E-2</v>
      </c>
      <c r="R471" s="7"/>
      <c r="T471" s="7"/>
    </row>
    <row r="472" spans="3:20">
      <c r="D472" s="23" t="s">
        <v>13</v>
      </c>
      <c r="E472" s="13">
        <v>7</v>
      </c>
      <c r="F472" s="13">
        <v>5</v>
      </c>
      <c r="G472" s="13">
        <v>3</v>
      </c>
      <c r="H472" s="13">
        <v>3</v>
      </c>
      <c r="I472" s="13">
        <v>4</v>
      </c>
      <c r="J472" s="23">
        <v>4</v>
      </c>
      <c r="K472" s="23">
        <v>4</v>
      </c>
      <c r="L472" s="23">
        <v>2</v>
      </c>
      <c r="M472" s="23">
        <v>4</v>
      </c>
      <c r="N472" s="23">
        <v>7</v>
      </c>
      <c r="O472" s="23">
        <v>3</v>
      </c>
      <c r="P472" s="22">
        <f t="shared" si="102"/>
        <v>-4</v>
      </c>
      <c r="Q472" s="15">
        <f t="shared" si="104"/>
        <v>-1.3333333333333333</v>
      </c>
      <c r="R472" s="7"/>
      <c r="T472" s="7"/>
    </row>
    <row r="473" spans="3:20">
      <c r="D473" s="23"/>
      <c r="E473" s="13"/>
      <c r="F473" s="13"/>
      <c r="G473" s="13"/>
      <c r="H473" s="13"/>
      <c r="I473" s="13"/>
      <c r="J473" s="23"/>
      <c r="K473" s="23"/>
      <c r="L473" s="23"/>
      <c r="M473" s="23"/>
      <c r="N473" s="23"/>
      <c r="O473" s="23"/>
      <c r="P473" s="22"/>
      <c r="Q473" s="15"/>
      <c r="R473" s="7"/>
      <c r="T473" s="7"/>
    </row>
    <row r="474" spans="3:20">
      <c r="D474" s="23" t="s">
        <v>14</v>
      </c>
      <c r="E474" s="13">
        <v>60</v>
      </c>
      <c r="F474" s="13">
        <v>45</v>
      </c>
      <c r="G474" s="13">
        <v>43</v>
      </c>
      <c r="H474" s="13">
        <v>44</v>
      </c>
      <c r="I474" s="13">
        <v>44</v>
      </c>
      <c r="J474" s="77">
        <v>46</v>
      </c>
      <c r="K474" s="77">
        <v>44</v>
      </c>
      <c r="L474" s="77">
        <v>46</v>
      </c>
      <c r="M474" s="77">
        <v>44</v>
      </c>
      <c r="N474" s="77">
        <v>52</v>
      </c>
      <c r="O474" s="77">
        <v>51</v>
      </c>
      <c r="P474" s="22">
        <f t="shared" si="102"/>
        <v>-1</v>
      </c>
      <c r="Q474" s="15">
        <f t="shared" ref="Q474:Q475" si="105">IF(O474&lt;&gt;0,P474/O474,"           -")</f>
        <v>-1.9607843137254902E-2</v>
      </c>
      <c r="R474" s="7"/>
      <c r="T474" s="7"/>
    </row>
    <row r="475" spans="3:20">
      <c r="D475" s="23" t="s">
        <v>15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23">
        <v>0</v>
      </c>
      <c r="K475" s="23">
        <v>0</v>
      </c>
      <c r="L475" s="23">
        <v>0</v>
      </c>
      <c r="M475" s="23">
        <v>0</v>
      </c>
      <c r="N475" s="23">
        <v>2</v>
      </c>
      <c r="O475" s="23">
        <v>1</v>
      </c>
      <c r="P475" s="22">
        <f t="shared" si="102"/>
        <v>-1</v>
      </c>
      <c r="Q475" s="15">
        <f t="shared" si="105"/>
        <v>-1</v>
      </c>
      <c r="R475" s="7"/>
      <c r="T475" s="7"/>
    </row>
    <row r="476" spans="3:20">
      <c r="D476" s="23"/>
      <c r="E476" s="13"/>
      <c r="F476" s="13"/>
      <c r="G476" s="13"/>
      <c r="H476" s="13"/>
      <c r="I476" s="13"/>
      <c r="J476" s="13"/>
      <c r="K476" s="23"/>
      <c r="L476" s="23"/>
      <c r="M476" s="23"/>
      <c r="N476" s="23"/>
      <c r="O476" s="22"/>
      <c r="P476" s="15"/>
      <c r="Q476" s="7"/>
      <c r="R476" s="7"/>
    </row>
    <row r="477" spans="3:20" ht="15.75">
      <c r="C477" s="16" t="s">
        <v>16</v>
      </c>
      <c r="D477" s="23"/>
      <c r="E477" s="13"/>
      <c r="F477" s="13"/>
      <c r="G477" s="13"/>
      <c r="H477" s="13"/>
      <c r="I477" s="13"/>
      <c r="J477" s="13"/>
      <c r="K477" s="23"/>
      <c r="L477" s="23"/>
      <c r="M477" s="23"/>
      <c r="N477" s="23"/>
      <c r="O477" s="22"/>
      <c r="P477" s="15"/>
      <c r="Q477" s="7"/>
      <c r="R477" s="7"/>
    </row>
    <row r="478" spans="3:20" ht="15.75">
      <c r="C478" s="16"/>
      <c r="D478" s="17" t="s">
        <v>45</v>
      </c>
      <c r="E478" s="19" t="s">
        <v>2</v>
      </c>
      <c r="F478" s="19" t="s">
        <v>3</v>
      </c>
      <c r="G478" s="19" t="s">
        <v>4</v>
      </c>
      <c r="H478" s="19" t="s">
        <v>5</v>
      </c>
      <c r="I478" s="19" t="s">
        <v>46</v>
      </c>
      <c r="J478" s="18" t="s">
        <v>47</v>
      </c>
      <c r="K478" s="18" t="s">
        <v>42</v>
      </c>
      <c r="L478" s="18" t="s">
        <v>43</v>
      </c>
      <c r="M478" s="18" t="s">
        <v>44</v>
      </c>
      <c r="N478" s="18" t="s">
        <v>54</v>
      </c>
      <c r="O478" s="18" t="s">
        <v>55</v>
      </c>
      <c r="P478" s="20" t="s">
        <v>49</v>
      </c>
      <c r="Q478" s="21" t="s">
        <v>50</v>
      </c>
      <c r="R478" s="7"/>
      <c r="T478" s="7"/>
    </row>
    <row r="479" spans="3:20">
      <c r="D479" s="24" t="s">
        <v>8</v>
      </c>
      <c r="E479" s="13">
        <v>1</v>
      </c>
      <c r="F479" s="13">
        <v>1</v>
      </c>
      <c r="G479" s="13">
        <v>1</v>
      </c>
      <c r="H479" s="13">
        <v>1</v>
      </c>
      <c r="I479" s="13">
        <v>1</v>
      </c>
      <c r="J479" s="23">
        <v>1</v>
      </c>
      <c r="K479" s="23">
        <v>1</v>
      </c>
      <c r="L479" s="23">
        <v>1</v>
      </c>
      <c r="M479" s="23">
        <v>2</v>
      </c>
      <c r="N479" s="23">
        <v>4</v>
      </c>
      <c r="O479" s="23">
        <v>4</v>
      </c>
      <c r="P479" s="22">
        <f>Table3292152[[#This Row],[10/31/23]]-Table3292152[[#This Row],[10/31/22]]</f>
        <v>0</v>
      </c>
      <c r="Q479" s="15">
        <f t="shared" ref="Q479:Q483" si="106">IF(O479&lt;&gt;0,P479/O479,"           -")</f>
        <v>0</v>
      </c>
      <c r="R479" s="23"/>
      <c r="T479" s="7"/>
    </row>
    <row r="480" spans="3:20">
      <c r="D480" s="24" t="s">
        <v>9</v>
      </c>
      <c r="E480" s="13">
        <v>18</v>
      </c>
      <c r="F480" s="13">
        <v>16</v>
      </c>
      <c r="G480" s="13">
        <v>17</v>
      </c>
      <c r="H480" s="13">
        <v>17</v>
      </c>
      <c r="I480" s="13">
        <v>16</v>
      </c>
      <c r="J480" s="23">
        <v>16</v>
      </c>
      <c r="K480" s="23">
        <v>14</v>
      </c>
      <c r="L480" s="23">
        <v>18</v>
      </c>
      <c r="M480" s="23">
        <v>16</v>
      </c>
      <c r="N480" s="23">
        <v>16</v>
      </c>
      <c r="O480" s="23">
        <v>21</v>
      </c>
      <c r="P480" s="22">
        <f>Table3292152[[#This Row],[10/31/23]]-Table3292152[[#This Row],[10/31/22]]</f>
        <v>5</v>
      </c>
      <c r="Q480" s="15">
        <f t="shared" si="106"/>
        <v>0.23809523809523808</v>
      </c>
      <c r="R480" s="23"/>
      <c r="T480" s="7"/>
    </row>
    <row r="481" spans="1:20">
      <c r="D481" s="24" t="s">
        <v>10</v>
      </c>
      <c r="E481" s="13">
        <v>20</v>
      </c>
      <c r="F481" s="13">
        <v>15</v>
      </c>
      <c r="G481" s="13">
        <v>17</v>
      </c>
      <c r="H481" s="13">
        <v>21</v>
      </c>
      <c r="I481" s="13">
        <v>21</v>
      </c>
      <c r="J481" s="23">
        <v>24</v>
      </c>
      <c r="K481" s="23">
        <v>25</v>
      </c>
      <c r="L481" s="23">
        <v>25</v>
      </c>
      <c r="M481" s="23">
        <v>22</v>
      </c>
      <c r="N481" s="23">
        <v>27</v>
      </c>
      <c r="O481" s="23">
        <v>24</v>
      </c>
      <c r="P481" s="22">
        <f>Table3292152[[#This Row],[10/31/23]]-Table3292152[[#This Row],[10/31/22]]</f>
        <v>-3</v>
      </c>
      <c r="Q481" s="15">
        <f t="shared" si="106"/>
        <v>-0.125</v>
      </c>
      <c r="R481" s="23"/>
      <c r="T481" s="7"/>
    </row>
    <row r="482" spans="1:20">
      <c r="A482" s="65"/>
      <c r="D482" s="24" t="s">
        <v>11</v>
      </c>
      <c r="E482" s="13">
        <v>14</v>
      </c>
      <c r="F482" s="13">
        <v>8</v>
      </c>
      <c r="G482" s="13">
        <v>5</v>
      </c>
      <c r="H482" s="13">
        <v>2</v>
      </c>
      <c r="I482" s="13">
        <v>2</v>
      </c>
      <c r="J482" s="23">
        <v>1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2">
        <f>Table3292152[[#This Row],[10/31/23]]-Table3292152[[#This Row],[10/31/22]]</f>
        <v>0</v>
      </c>
      <c r="Q482" s="15" t="str">
        <f t="shared" si="106"/>
        <v xml:space="preserve">           -</v>
      </c>
      <c r="R482" s="23"/>
      <c r="T482" s="7"/>
    </row>
    <row r="483" spans="1:20">
      <c r="D483" s="24" t="s">
        <v>7</v>
      </c>
      <c r="E483" s="13">
        <v>53</v>
      </c>
      <c r="F483" s="13">
        <v>40</v>
      </c>
      <c r="G483" s="13">
        <v>40</v>
      </c>
      <c r="H483" s="13">
        <v>41</v>
      </c>
      <c r="I483" s="13">
        <v>40</v>
      </c>
      <c r="J483" s="13">
        <v>42</v>
      </c>
      <c r="K483" s="13">
        <v>40</v>
      </c>
      <c r="L483" s="13">
        <v>44</v>
      </c>
      <c r="M483" s="13">
        <v>40</v>
      </c>
      <c r="N483" s="13">
        <v>47</v>
      </c>
      <c r="O483" s="13">
        <f>SUM(O479:O482)</f>
        <v>49</v>
      </c>
      <c r="P483" s="22">
        <f>Table3292152[[#This Row],[10/31/23]]-Table3292152[[#This Row],[10/31/22]]</f>
        <v>2</v>
      </c>
      <c r="Q483" s="15">
        <f t="shared" si="106"/>
        <v>4.0816326530612242E-2</v>
      </c>
      <c r="R483" s="23"/>
      <c r="T483" s="7"/>
    </row>
    <row r="484" spans="1:20">
      <c r="D484" s="24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22"/>
      <c r="P484" s="22"/>
      <c r="Q484" s="15"/>
      <c r="R484" s="7"/>
    </row>
    <row r="485" spans="1:20">
      <c r="D485" s="23"/>
      <c r="E485" s="13"/>
      <c r="F485" s="13"/>
      <c r="G485" s="13"/>
      <c r="H485" s="13"/>
      <c r="I485" s="13"/>
      <c r="J485" s="13"/>
      <c r="K485" s="23"/>
      <c r="L485" s="23"/>
      <c r="M485" s="23"/>
      <c r="N485" s="23"/>
      <c r="O485" s="22"/>
      <c r="P485" s="15"/>
      <c r="Q485" s="23"/>
      <c r="R485" s="7"/>
    </row>
    <row r="486" spans="1:20" ht="18.75">
      <c r="B486" s="12" t="s">
        <v>51</v>
      </c>
      <c r="D486" s="23"/>
      <c r="E486" s="13"/>
      <c r="F486" s="13"/>
      <c r="G486" s="13"/>
      <c r="H486" s="13"/>
      <c r="I486" s="13"/>
      <c r="J486" s="13"/>
      <c r="K486" s="23"/>
      <c r="L486" s="23"/>
      <c r="M486" s="23"/>
      <c r="N486" s="23"/>
      <c r="O486" s="22"/>
      <c r="P486" s="15"/>
      <c r="Q486" s="23"/>
      <c r="R486" s="7"/>
    </row>
    <row r="487" spans="1:20">
      <c r="D487" s="23"/>
      <c r="E487" s="13"/>
      <c r="F487" s="13"/>
      <c r="G487" s="13"/>
      <c r="H487" s="13"/>
      <c r="I487" s="13"/>
      <c r="J487" s="13"/>
      <c r="K487" s="23"/>
      <c r="L487" s="23"/>
      <c r="M487" s="23"/>
      <c r="N487" s="23"/>
      <c r="O487" s="22"/>
      <c r="P487" s="15"/>
      <c r="Q487" s="23"/>
      <c r="R487" s="7"/>
    </row>
    <row r="488" spans="1:20" ht="18.75">
      <c r="C488" s="16" t="s">
        <v>52</v>
      </c>
      <c r="D488" s="23"/>
      <c r="E488" s="13"/>
      <c r="F488" s="13"/>
      <c r="G488" s="13"/>
      <c r="H488" s="13"/>
      <c r="I488" s="13"/>
      <c r="J488" s="13"/>
      <c r="K488" s="23"/>
      <c r="L488" s="23"/>
      <c r="M488" s="23"/>
      <c r="N488" s="23"/>
      <c r="O488" s="22"/>
      <c r="P488" s="15"/>
      <c r="Q488" s="23"/>
      <c r="R488" s="7"/>
    </row>
    <row r="489" spans="1:20" ht="15.75">
      <c r="C489" s="16"/>
      <c r="D489" s="17" t="s">
        <v>45</v>
      </c>
      <c r="E489" s="19" t="s">
        <v>2</v>
      </c>
      <c r="F489" s="19" t="s">
        <v>3</v>
      </c>
      <c r="G489" s="19" t="s">
        <v>4</v>
      </c>
      <c r="H489" s="19" t="s">
        <v>5</v>
      </c>
      <c r="I489" s="19" t="s">
        <v>46</v>
      </c>
      <c r="J489" s="18" t="s">
        <v>47</v>
      </c>
      <c r="K489" s="18" t="s">
        <v>42</v>
      </c>
      <c r="L489" s="18" t="s">
        <v>43</v>
      </c>
      <c r="M489" s="18" t="s">
        <v>44</v>
      </c>
      <c r="N489" s="18" t="s">
        <v>54</v>
      </c>
      <c r="O489" s="18" t="s">
        <v>55</v>
      </c>
      <c r="P489" s="20" t="s">
        <v>49</v>
      </c>
      <c r="Q489" s="21" t="s">
        <v>50</v>
      </c>
      <c r="R489" s="23"/>
      <c r="T489" s="7"/>
    </row>
    <row r="490" spans="1:20">
      <c r="D490" s="23" t="s">
        <v>8</v>
      </c>
      <c r="E490" s="25">
        <v>1</v>
      </c>
      <c r="F490" s="25">
        <v>1</v>
      </c>
      <c r="G490" s="25">
        <v>1</v>
      </c>
      <c r="H490" s="25">
        <v>1</v>
      </c>
      <c r="I490" s="25">
        <v>1</v>
      </c>
      <c r="J490" s="26">
        <v>1</v>
      </c>
      <c r="K490" s="45">
        <v>1</v>
      </c>
      <c r="L490" s="45">
        <v>1</v>
      </c>
      <c r="M490" s="45">
        <v>2</v>
      </c>
      <c r="N490" s="45">
        <v>3</v>
      </c>
      <c r="O490" s="45">
        <v>3</v>
      </c>
      <c r="P490" s="22">
        <f>Table3393153[[#This Row],[10/31/23]]-Table3393153[[#This Row],[10/31/22]]</f>
        <v>0</v>
      </c>
      <c r="Q490" s="15">
        <f t="shared" ref="Q490:Q494" si="107">IF(O490&lt;&gt;0,P490/O490,"           -")</f>
        <v>0</v>
      </c>
      <c r="R490" s="23"/>
      <c r="T490" s="7"/>
    </row>
    <row r="491" spans="1:20">
      <c r="D491" s="23" t="s">
        <v>9</v>
      </c>
      <c r="E491" s="25">
        <v>19</v>
      </c>
      <c r="F491" s="25">
        <v>16</v>
      </c>
      <c r="G491" s="25">
        <v>17</v>
      </c>
      <c r="H491" s="25">
        <v>16</v>
      </c>
      <c r="I491" s="25">
        <v>15</v>
      </c>
      <c r="J491" s="26">
        <v>15</v>
      </c>
      <c r="K491" s="45">
        <v>14</v>
      </c>
      <c r="L491" s="45">
        <v>17</v>
      </c>
      <c r="M491" s="45">
        <v>16</v>
      </c>
      <c r="N491" s="45">
        <v>16</v>
      </c>
      <c r="O491" s="45">
        <v>19</v>
      </c>
      <c r="P491" s="22">
        <f>Table3393153[[#This Row],[10/31/23]]-Table3393153[[#This Row],[10/31/22]]</f>
        <v>3</v>
      </c>
      <c r="Q491" s="15">
        <f t="shared" si="107"/>
        <v>0.15789473684210525</v>
      </c>
      <c r="R491" s="23"/>
      <c r="T491" s="7"/>
    </row>
    <row r="492" spans="1:20">
      <c r="D492" s="23" t="s">
        <v>10</v>
      </c>
      <c r="E492" s="25">
        <v>20</v>
      </c>
      <c r="F492" s="25">
        <v>16</v>
      </c>
      <c r="G492" s="25">
        <v>16</v>
      </c>
      <c r="H492" s="25">
        <v>21</v>
      </c>
      <c r="I492" s="25">
        <v>20</v>
      </c>
      <c r="J492" s="26">
        <v>23</v>
      </c>
      <c r="K492" s="45">
        <v>24</v>
      </c>
      <c r="L492" s="45">
        <v>24</v>
      </c>
      <c r="M492" s="45">
        <v>21</v>
      </c>
      <c r="N492" s="45">
        <v>25</v>
      </c>
      <c r="O492" s="45">
        <v>21</v>
      </c>
      <c r="P492" s="22">
        <f>Table3393153[[#This Row],[10/31/23]]-Table3393153[[#This Row],[10/31/22]]</f>
        <v>-4</v>
      </c>
      <c r="Q492" s="15">
        <f t="shared" si="107"/>
        <v>-0.19047619047619047</v>
      </c>
      <c r="R492" s="23"/>
      <c r="T492" s="7"/>
    </row>
    <row r="493" spans="1:20">
      <c r="D493" s="23" t="s">
        <v>11</v>
      </c>
      <c r="E493" s="25">
        <v>15</v>
      </c>
      <c r="F493" s="25">
        <v>9</v>
      </c>
      <c r="G493" s="25">
        <v>6</v>
      </c>
      <c r="H493" s="25">
        <v>3</v>
      </c>
      <c r="I493" s="25">
        <v>3</v>
      </c>
      <c r="J493" s="26">
        <v>2</v>
      </c>
      <c r="K493" s="45">
        <v>1</v>
      </c>
      <c r="L493" s="45">
        <v>1</v>
      </c>
      <c r="M493" s="45">
        <v>1</v>
      </c>
      <c r="N493" s="45">
        <v>1</v>
      </c>
      <c r="O493" s="45">
        <v>0</v>
      </c>
      <c r="P493" s="22">
        <f>Table3393153[[#This Row],[10/31/23]]-Table3393153[[#This Row],[10/31/22]]</f>
        <v>-1</v>
      </c>
      <c r="Q493" s="15" t="str">
        <f t="shared" si="107"/>
        <v xml:space="preserve">           -</v>
      </c>
      <c r="R493" s="23"/>
      <c r="T493" s="7"/>
    </row>
    <row r="494" spans="1:20">
      <c r="D494" s="23" t="s">
        <v>7</v>
      </c>
      <c r="E494" s="13">
        <v>55</v>
      </c>
      <c r="F494" s="13">
        <v>42</v>
      </c>
      <c r="G494" s="13">
        <v>40</v>
      </c>
      <c r="H494" s="13">
        <v>41</v>
      </c>
      <c r="I494" s="13">
        <v>39</v>
      </c>
      <c r="J494" s="13">
        <v>41</v>
      </c>
      <c r="K494" s="25">
        <v>40</v>
      </c>
      <c r="L494" s="25">
        <v>43</v>
      </c>
      <c r="M494" s="25">
        <v>40</v>
      </c>
      <c r="N494" s="25">
        <v>45</v>
      </c>
      <c r="O494" s="25">
        <f>SUM(O490:O493)</f>
        <v>43</v>
      </c>
      <c r="P494" s="22">
        <f>Table3393153[[#This Row],[10/31/23]]-Table3393153[[#This Row],[10/31/22]]</f>
        <v>-2</v>
      </c>
      <c r="Q494" s="15">
        <f t="shared" si="107"/>
        <v>-4.6511627906976744E-2</v>
      </c>
      <c r="R494" s="23"/>
      <c r="T494" s="7"/>
    </row>
    <row r="495" spans="1:20">
      <c r="D495" s="23"/>
      <c r="E495" s="25"/>
      <c r="F495" s="25"/>
      <c r="G495" s="25"/>
      <c r="H495" s="25"/>
      <c r="I495" s="25"/>
      <c r="J495" s="26"/>
      <c r="K495" s="45"/>
      <c r="L495" s="45"/>
      <c r="M495" s="45"/>
      <c r="N495" s="45"/>
      <c r="O495" s="60"/>
      <c r="P495" s="22"/>
      <c r="Q495" s="15"/>
      <c r="R495" s="7"/>
    </row>
    <row r="496" spans="1:20" ht="18.75">
      <c r="C496" s="16" t="s">
        <v>53</v>
      </c>
      <c r="D496" s="23"/>
      <c r="E496" s="13"/>
      <c r="F496" s="25"/>
      <c r="G496" s="25"/>
      <c r="H496" s="25"/>
      <c r="I496" s="25"/>
      <c r="J496" s="25"/>
      <c r="K496" s="39"/>
      <c r="L496" s="25"/>
      <c r="M496" s="25"/>
      <c r="N496" s="25"/>
      <c r="O496" s="22"/>
      <c r="P496" s="15"/>
      <c r="Q496" s="23"/>
      <c r="R496" s="7"/>
    </row>
    <row r="497" spans="2:20" ht="15.75">
      <c r="C497" s="16"/>
      <c r="D497" s="17" t="s">
        <v>45</v>
      </c>
      <c r="E497" s="19" t="s">
        <v>2</v>
      </c>
      <c r="F497" s="19" t="s">
        <v>3</v>
      </c>
      <c r="G497" s="19" t="s">
        <v>4</v>
      </c>
      <c r="H497" s="19" t="s">
        <v>5</v>
      </c>
      <c r="I497" s="19" t="s">
        <v>46</v>
      </c>
      <c r="J497" s="18" t="s">
        <v>47</v>
      </c>
      <c r="K497" s="18" t="s">
        <v>42</v>
      </c>
      <c r="L497" s="18" t="s">
        <v>43</v>
      </c>
      <c r="M497" s="18" t="s">
        <v>44</v>
      </c>
      <c r="N497" s="18" t="s">
        <v>54</v>
      </c>
      <c r="O497" s="18" t="s">
        <v>55</v>
      </c>
      <c r="P497" s="20" t="s">
        <v>49</v>
      </c>
      <c r="Q497" s="21" t="s">
        <v>50</v>
      </c>
      <c r="R497" s="23"/>
      <c r="T497" s="7"/>
    </row>
    <row r="498" spans="2:20">
      <c r="D498" s="23" t="s">
        <v>8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9">
        <v>0</v>
      </c>
      <c r="K498" s="46">
        <v>0</v>
      </c>
      <c r="L498" s="46">
        <v>0</v>
      </c>
      <c r="M498" s="46">
        <v>0</v>
      </c>
      <c r="N498" s="46">
        <v>1</v>
      </c>
      <c r="O498" s="46">
        <v>1</v>
      </c>
      <c r="P498" s="22">
        <f>Table3494154[[#This Row],[10/31/23]]-Table3494154[[#This Row],[10/31/22]]</f>
        <v>0</v>
      </c>
      <c r="Q498" s="15">
        <f t="shared" ref="Q498:Q502" si="108">IF(O498&lt;&gt;0,P498/O498,"           -")</f>
        <v>0</v>
      </c>
      <c r="R498" s="23"/>
      <c r="T498" s="7"/>
    </row>
    <row r="499" spans="2:20">
      <c r="D499" s="23" t="s">
        <v>9</v>
      </c>
      <c r="E499" s="25">
        <v>1</v>
      </c>
      <c r="F499" s="25">
        <v>1</v>
      </c>
      <c r="G499" s="25">
        <v>1</v>
      </c>
      <c r="H499" s="25">
        <v>1</v>
      </c>
      <c r="I499" s="25">
        <v>2</v>
      </c>
      <c r="J499" s="29">
        <v>2</v>
      </c>
      <c r="K499" s="46">
        <v>1</v>
      </c>
      <c r="L499" s="46">
        <v>1</v>
      </c>
      <c r="M499" s="46">
        <v>0</v>
      </c>
      <c r="N499" s="46">
        <v>2</v>
      </c>
      <c r="O499" s="46">
        <v>3</v>
      </c>
      <c r="P499" s="22">
        <f>Table3494154[[#This Row],[10/31/23]]-Table3494154[[#This Row],[10/31/22]]</f>
        <v>1</v>
      </c>
      <c r="Q499" s="15">
        <f t="shared" si="108"/>
        <v>0.33333333333333331</v>
      </c>
      <c r="R499" s="23"/>
      <c r="T499" s="7"/>
    </row>
    <row r="500" spans="2:20">
      <c r="D500" s="23" t="s">
        <v>10</v>
      </c>
      <c r="E500" s="25">
        <v>1</v>
      </c>
      <c r="F500" s="25">
        <v>1</v>
      </c>
      <c r="G500" s="25">
        <v>1</v>
      </c>
      <c r="H500" s="25">
        <v>1</v>
      </c>
      <c r="I500" s="25">
        <v>1</v>
      </c>
      <c r="J500" s="29">
        <v>1</v>
      </c>
      <c r="K500" s="46">
        <v>1</v>
      </c>
      <c r="L500" s="46">
        <v>1</v>
      </c>
      <c r="M500" s="46">
        <v>2</v>
      </c>
      <c r="N500" s="46">
        <v>3</v>
      </c>
      <c r="O500" s="46">
        <v>4</v>
      </c>
      <c r="P500" s="22">
        <f>Table3494154[[#This Row],[10/31/23]]-Table3494154[[#This Row],[10/31/22]]</f>
        <v>1</v>
      </c>
      <c r="Q500" s="15">
        <f t="shared" si="108"/>
        <v>0.25</v>
      </c>
      <c r="R500" s="23"/>
      <c r="T500" s="7"/>
    </row>
    <row r="501" spans="2:20">
      <c r="D501" s="23" t="s">
        <v>11</v>
      </c>
      <c r="E501" s="25">
        <v>0</v>
      </c>
      <c r="F501" s="25">
        <v>0</v>
      </c>
      <c r="G501" s="25">
        <v>0</v>
      </c>
      <c r="H501" s="25">
        <v>0</v>
      </c>
      <c r="I501" s="25">
        <v>0</v>
      </c>
      <c r="J501" s="29">
        <v>0</v>
      </c>
      <c r="K501" s="46">
        <v>0</v>
      </c>
      <c r="L501" s="46">
        <v>0</v>
      </c>
      <c r="M501" s="46">
        <v>1</v>
      </c>
      <c r="N501" s="46">
        <v>0</v>
      </c>
      <c r="O501" s="46">
        <v>0</v>
      </c>
      <c r="P501" s="22">
        <f>Table3494154[[#This Row],[10/31/23]]-Table3494154[[#This Row],[10/31/22]]</f>
        <v>0</v>
      </c>
      <c r="Q501" s="15" t="str">
        <f t="shared" si="108"/>
        <v xml:space="preserve">           -</v>
      </c>
      <c r="R501" s="23"/>
      <c r="T501" s="7"/>
    </row>
    <row r="502" spans="2:20">
      <c r="D502" s="23" t="s">
        <v>7</v>
      </c>
      <c r="E502" s="25">
        <v>2</v>
      </c>
      <c r="F502" s="25">
        <v>2</v>
      </c>
      <c r="G502" s="25">
        <v>2</v>
      </c>
      <c r="H502" s="25">
        <v>2</v>
      </c>
      <c r="I502" s="25">
        <v>3</v>
      </c>
      <c r="J502" s="25">
        <v>3</v>
      </c>
      <c r="K502" s="25">
        <v>2</v>
      </c>
      <c r="L502" s="25">
        <v>2</v>
      </c>
      <c r="M502" s="25">
        <v>3</v>
      </c>
      <c r="N502" s="25">
        <v>6</v>
      </c>
      <c r="O502" s="25">
        <f>SUM(O498:O501)</f>
        <v>8</v>
      </c>
      <c r="P502" s="22">
        <f>Table3494154[[#This Row],[10/31/23]]-Table3494154[[#This Row],[10/31/22]]</f>
        <v>2</v>
      </c>
      <c r="Q502" s="15">
        <f t="shared" si="108"/>
        <v>0.25</v>
      </c>
      <c r="R502" s="23"/>
      <c r="T502" s="7"/>
    </row>
    <row r="503" spans="2:20">
      <c r="D503" s="23"/>
      <c r="E503" s="13"/>
      <c r="F503" s="25"/>
      <c r="G503" s="25"/>
      <c r="H503" s="25"/>
      <c r="I503" s="25"/>
      <c r="J503" s="25"/>
      <c r="K503" s="23"/>
      <c r="L503" s="23"/>
      <c r="M503" s="23"/>
      <c r="N503" s="23"/>
      <c r="O503" s="22"/>
      <c r="P503" s="15"/>
      <c r="Q503" s="23"/>
      <c r="R503" s="7"/>
    </row>
    <row r="504" spans="2:20" ht="15.75">
      <c r="C504" s="16" t="s">
        <v>17</v>
      </c>
      <c r="D504" s="23"/>
      <c r="E504" s="13"/>
      <c r="F504" s="25"/>
      <c r="G504" s="25"/>
      <c r="H504" s="25"/>
      <c r="I504" s="25"/>
      <c r="J504" s="25"/>
      <c r="K504" s="23"/>
      <c r="L504" s="23"/>
      <c r="M504" s="23"/>
      <c r="N504" s="23"/>
      <c r="O504" s="22"/>
      <c r="P504" s="15"/>
      <c r="Q504" s="23"/>
      <c r="R504" s="7"/>
    </row>
    <row r="505" spans="2:20" ht="15.75">
      <c r="C505" s="16"/>
      <c r="D505" s="17" t="s">
        <v>45</v>
      </c>
      <c r="E505" s="19" t="s">
        <v>2</v>
      </c>
      <c r="F505" s="19" t="s">
        <v>3</v>
      </c>
      <c r="G505" s="19" t="s">
        <v>4</v>
      </c>
      <c r="H505" s="19" t="s">
        <v>5</v>
      </c>
      <c r="I505" s="19" t="s">
        <v>46</v>
      </c>
      <c r="J505" s="18" t="s">
        <v>47</v>
      </c>
      <c r="K505" s="18" t="s">
        <v>42</v>
      </c>
      <c r="L505" s="18" t="s">
        <v>43</v>
      </c>
      <c r="M505" s="18" t="s">
        <v>44</v>
      </c>
      <c r="N505" s="18" t="s">
        <v>54</v>
      </c>
      <c r="O505" s="18" t="s">
        <v>55</v>
      </c>
      <c r="P505" s="20" t="s">
        <v>49</v>
      </c>
      <c r="Q505" s="21" t="s">
        <v>50</v>
      </c>
      <c r="R505" s="7"/>
    </row>
    <row r="506" spans="2:20">
      <c r="D506" s="23" t="s">
        <v>8</v>
      </c>
      <c r="E506" s="25">
        <v>1</v>
      </c>
      <c r="F506" s="25">
        <v>1</v>
      </c>
      <c r="G506" s="25">
        <v>1</v>
      </c>
      <c r="H506" s="25">
        <v>1</v>
      </c>
      <c r="I506" s="25">
        <v>1</v>
      </c>
      <c r="J506" s="25">
        <v>1</v>
      </c>
      <c r="K506" s="25">
        <v>1</v>
      </c>
      <c r="L506" s="25">
        <v>1</v>
      </c>
      <c r="M506" s="25">
        <v>2</v>
      </c>
      <c r="N506" s="25">
        <v>4</v>
      </c>
      <c r="O506" s="25">
        <v>4</v>
      </c>
      <c r="P506" s="22">
        <f>Table3595155[[#This Row],[10/31/23]]-Table3595155[[#This Row],[10/31/22]]</f>
        <v>0</v>
      </c>
      <c r="Q506" s="15">
        <f t="shared" ref="Q506:Q510" si="109">IF(O506&lt;&gt;0,P506/O506,"           -")</f>
        <v>0</v>
      </c>
      <c r="R506" s="7"/>
    </row>
    <row r="507" spans="2:20">
      <c r="D507" s="23" t="s">
        <v>9</v>
      </c>
      <c r="E507" s="25">
        <v>20</v>
      </c>
      <c r="F507" s="25">
        <v>17</v>
      </c>
      <c r="G507" s="25">
        <v>18</v>
      </c>
      <c r="H507" s="25">
        <v>17</v>
      </c>
      <c r="I507" s="25">
        <v>17</v>
      </c>
      <c r="J507" s="25">
        <v>17</v>
      </c>
      <c r="K507" s="25">
        <v>15</v>
      </c>
      <c r="L507" s="25">
        <v>18</v>
      </c>
      <c r="M507" s="25">
        <v>16</v>
      </c>
      <c r="N507" s="25">
        <v>18</v>
      </c>
      <c r="O507" s="25">
        <v>22</v>
      </c>
      <c r="P507" s="22">
        <f>Table3595155[[#This Row],[10/31/23]]-Table3595155[[#This Row],[10/31/22]]</f>
        <v>4</v>
      </c>
      <c r="Q507" s="15">
        <f t="shared" si="109"/>
        <v>0.18181818181818182</v>
      </c>
    </row>
    <row r="508" spans="2:20">
      <c r="D508" s="23" t="s">
        <v>10</v>
      </c>
      <c r="E508" s="25">
        <v>21</v>
      </c>
      <c r="F508" s="25">
        <v>17</v>
      </c>
      <c r="G508" s="25">
        <v>17</v>
      </c>
      <c r="H508" s="25">
        <v>22</v>
      </c>
      <c r="I508" s="25">
        <v>21</v>
      </c>
      <c r="J508" s="25">
        <v>24</v>
      </c>
      <c r="K508" s="25">
        <v>25</v>
      </c>
      <c r="L508" s="25">
        <v>25</v>
      </c>
      <c r="M508" s="25">
        <v>23</v>
      </c>
      <c r="N508" s="25">
        <v>28</v>
      </c>
      <c r="O508" s="25">
        <v>25</v>
      </c>
      <c r="P508" s="22">
        <f>Table3595155[[#This Row],[10/31/23]]-Table3595155[[#This Row],[10/31/22]]</f>
        <v>-3</v>
      </c>
      <c r="Q508" s="15">
        <f t="shared" si="109"/>
        <v>-0.12</v>
      </c>
      <c r="R508" s="68"/>
    </row>
    <row r="509" spans="2:20">
      <c r="D509" s="23" t="s">
        <v>11</v>
      </c>
      <c r="E509" s="25">
        <v>15</v>
      </c>
      <c r="F509" s="25">
        <v>9</v>
      </c>
      <c r="G509" s="25">
        <v>6</v>
      </c>
      <c r="H509" s="25">
        <v>3</v>
      </c>
      <c r="I509" s="25">
        <v>3</v>
      </c>
      <c r="J509" s="25">
        <v>2</v>
      </c>
      <c r="K509" s="25">
        <v>1</v>
      </c>
      <c r="L509" s="25">
        <v>1</v>
      </c>
      <c r="M509" s="25">
        <v>2</v>
      </c>
      <c r="N509" s="25">
        <v>1</v>
      </c>
      <c r="O509" s="25">
        <v>0</v>
      </c>
      <c r="P509" s="22">
        <f>Table3595155[[#This Row],[10/31/23]]-Table3595155[[#This Row],[10/31/22]]</f>
        <v>-1</v>
      </c>
      <c r="Q509" s="15" t="str">
        <f t="shared" si="109"/>
        <v xml:space="preserve">           -</v>
      </c>
    </row>
    <row r="510" spans="2:20">
      <c r="D510" s="23" t="s">
        <v>7</v>
      </c>
      <c r="E510" s="13">
        <v>57</v>
      </c>
      <c r="F510" s="13">
        <v>44</v>
      </c>
      <c r="G510" s="13">
        <v>42</v>
      </c>
      <c r="H510" s="13">
        <v>43</v>
      </c>
      <c r="I510" s="13">
        <v>42</v>
      </c>
      <c r="J510" s="13">
        <v>44</v>
      </c>
      <c r="K510" s="13">
        <v>42</v>
      </c>
      <c r="L510" s="13">
        <v>45</v>
      </c>
      <c r="M510" s="13">
        <v>43</v>
      </c>
      <c r="N510" s="13">
        <v>51</v>
      </c>
      <c r="O510" s="13">
        <f>SUM(O506:O509)</f>
        <v>51</v>
      </c>
      <c r="P510" s="22">
        <f>Table3595155[[#This Row],[10/31/23]]-Table3595155[[#This Row],[10/31/22]]</f>
        <v>0</v>
      </c>
      <c r="Q510" s="15">
        <f t="shared" si="109"/>
        <v>0</v>
      </c>
    </row>
    <row r="511" spans="2:20"/>
    <row r="512" spans="2:20">
      <c r="B512" s="7" t="str">
        <f>"_________________________"</f>
        <v>_________________________</v>
      </c>
    </row>
    <row r="513" spans="2:18" ht="18">
      <c r="C513" s="67">
        <v>1</v>
      </c>
      <c r="D513" s="7" t="s">
        <v>18</v>
      </c>
    </row>
    <row r="514" spans="2:18" ht="18">
      <c r="C514" s="67">
        <v>2</v>
      </c>
      <c r="D514" s="7" t="s">
        <v>19</v>
      </c>
    </row>
    <row r="515" spans="2:18" ht="18">
      <c r="C515" s="67"/>
      <c r="D515" s="7" t="s">
        <v>20</v>
      </c>
    </row>
    <row r="516" spans="2:18" ht="18">
      <c r="C516" s="67">
        <v>3</v>
      </c>
      <c r="D516" s="7" t="s">
        <v>21</v>
      </c>
    </row>
    <row r="517" spans="2:18">
      <c r="D517" s="7" t="s">
        <v>22</v>
      </c>
    </row>
    <row r="518" spans="2:18">
      <c r="D518" s="7" t="s">
        <v>23</v>
      </c>
    </row>
    <row r="519" spans="2:18" ht="18">
      <c r="C519" s="67">
        <v>4</v>
      </c>
      <c r="D519" s="7" t="s">
        <v>24</v>
      </c>
    </row>
    <row r="520" spans="2:18" ht="18">
      <c r="C520" s="67"/>
    </row>
    <row r="521" spans="2:18" ht="18">
      <c r="C521" s="67"/>
    </row>
    <row r="522" spans="2:18" ht="18">
      <c r="C522" s="67"/>
    </row>
    <row r="523" spans="2:18" ht="18">
      <c r="C523" s="67"/>
    </row>
    <row r="524" spans="2:18" ht="18">
      <c r="C524" s="67"/>
    </row>
    <row r="525" spans="2:18">
      <c r="B525" s="7" t="s">
        <v>25</v>
      </c>
    </row>
    <row r="526" spans="2:18">
      <c r="B526" s="7" t="str">
        <f>B75</f>
        <v>November 13, 2023</v>
      </c>
    </row>
    <row r="527" spans="2:18" ht="15.75">
      <c r="Q527" s="8"/>
      <c r="R527" s="8"/>
    </row>
    <row r="528" spans="2:18" ht="15.75">
      <c r="Q528" s="8"/>
      <c r="R528" s="8"/>
    </row>
    <row r="529" spans="2:20"/>
    <row r="530" spans="2:20"/>
    <row r="531" spans="2:20" ht="15.75">
      <c r="C531" s="8"/>
      <c r="D531" s="8"/>
      <c r="E531" s="8"/>
      <c r="F531" s="8"/>
      <c r="G531" s="8"/>
      <c r="H531" s="8"/>
      <c r="I531" s="40"/>
      <c r="J531" s="9" t="s">
        <v>26</v>
      </c>
      <c r="K531" s="8"/>
      <c r="L531" s="8"/>
      <c r="M531" s="8"/>
      <c r="N531" s="8"/>
      <c r="O531" s="8"/>
      <c r="P531" s="8"/>
      <c r="Q531" s="7"/>
      <c r="R531" s="7"/>
    </row>
    <row r="532" spans="2:20" ht="15.75">
      <c r="C532" s="8"/>
      <c r="D532" s="8"/>
      <c r="E532" s="8"/>
      <c r="F532" s="8"/>
      <c r="G532" s="8"/>
      <c r="H532" s="8"/>
      <c r="I532" s="40"/>
      <c r="J532" s="9" t="s">
        <v>34</v>
      </c>
      <c r="K532" s="8"/>
      <c r="L532" s="8"/>
      <c r="M532" s="8"/>
      <c r="N532" s="8"/>
      <c r="O532" s="8"/>
      <c r="P532" s="8"/>
      <c r="Q532" s="7"/>
      <c r="R532" s="7"/>
    </row>
    <row r="533" spans="2:20"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14"/>
      <c r="P533" s="14"/>
      <c r="Q533" s="7"/>
      <c r="R533" s="7"/>
    </row>
    <row r="534" spans="2:20">
      <c r="M534" s="11"/>
      <c r="O534" s="14"/>
      <c r="P534" s="14"/>
      <c r="Q534" s="7"/>
      <c r="R534" s="7"/>
    </row>
    <row r="535" spans="2:20" ht="18.75">
      <c r="B535" s="12" t="s">
        <v>48</v>
      </c>
      <c r="E535" s="13"/>
      <c r="H535" s="13"/>
      <c r="I535" s="13"/>
      <c r="J535" s="13"/>
      <c r="K535" s="7"/>
      <c r="L535" s="7"/>
      <c r="M535" s="7"/>
      <c r="N535" s="7"/>
      <c r="O535" s="14"/>
      <c r="P535" s="15"/>
      <c r="Q535" s="7"/>
      <c r="R535" s="7"/>
    </row>
    <row r="536" spans="2:20">
      <c r="E536" s="13"/>
      <c r="H536" s="13"/>
      <c r="I536" s="13"/>
      <c r="J536" s="13"/>
      <c r="K536" s="7"/>
      <c r="L536" s="7"/>
      <c r="M536" s="7"/>
      <c r="N536" s="7"/>
      <c r="O536" s="14"/>
      <c r="P536" s="15"/>
      <c r="Q536" s="7"/>
      <c r="R536" s="7"/>
    </row>
    <row r="537" spans="2:20" ht="15.75">
      <c r="C537" s="16" t="s">
        <v>6</v>
      </c>
      <c r="E537" s="13"/>
      <c r="H537" s="13"/>
      <c r="I537" s="13"/>
      <c r="J537" s="13"/>
      <c r="K537" s="7"/>
      <c r="L537" s="7"/>
      <c r="M537" s="7"/>
      <c r="N537" s="7"/>
      <c r="O537" s="14"/>
      <c r="P537" s="15"/>
      <c r="Q537" s="7"/>
      <c r="R537" s="7"/>
    </row>
    <row r="538" spans="2:20" ht="15.75">
      <c r="C538" s="16"/>
      <c r="D538" s="17" t="s">
        <v>45</v>
      </c>
      <c r="E538" s="19" t="s">
        <v>2</v>
      </c>
      <c r="F538" s="19" t="s">
        <v>3</v>
      </c>
      <c r="G538" s="19" t="s">
        <v>4</v>
      </c>
      <c r="H538" s="19" t="s">
        <v>5</v>
      </c>
      <c r="I538" s="19" t="s">
        <v>46</v>
      </c>
      <c r="J538" s="18" t="s">
        <v>47</v>
      </c>
      <c r="K538" s="18" t="s">
        <v>42</v>
      </c>
      <c r="L538" s="18" t="s">
        <v>43</v>
      </c>
      <c r="M538" s="18" t="s">
        <v>44</v>
      </c>
      <c r="N538" s="18" t="s">
        <v>54</v>
      </c>
      <c r="O538" s="18" t="s">
        <v>55</v>
      </c>
      <c r="P538" s="20" t="s">
        <v>49</v>
      </c>
      <c r="Q538" s="21" t="s">
        <v>50</v>
      </c>
      <c r="R538" s="7"/>
      <c r="T538" s="7"/>
    </row>
    <row r="539" spans="2:20">
      <c r="D539" s="23" t="s">
        <v>7</v>
      </c>
      <c r="E539" s="13">
        <v>1380</v>
      </c>
      <c r="F539" s="13">
        <v>1317</v>
      </c>
      <c r="G539" s="13">
        <v>1233</v>
      </c>
      <c r="H539" s="13">
        <v>1280</v>
      </c>
      <c r="I539" s="13">
        <v>1315</v>
      </c>
      <c r="J539" s="13">
        <v>1372</v>
      </c>
      <c r="K539" s="13">
        <v>1386</v>
      </c>
      <c r="L539" s="13">
        <v>1385</v>
      </c>
      <c r="M539" s="13">
        <v>1371</v>
      </c>
      <c r="N539" s="13">
        <v>1345</v>
      </c>
      <c r="O539" s="13">
        <v>1291</v>
      </c>
      <c r="P539" s="22">
        <f>Table3696156[[#This Row],[10/31/23]]-Table3696156[[#This Row],[10/31/22]]</f>
        <v>-54</v>
      </c>
      <c r="Q539" s="15">
        <f>IF(O539&lt;&gt;0,P539/O539,"           -")</f>
        <v>-4.1828040278853604E-2</v>
      </c>
      <c r="R539" s="7"/>
      <c r="T539" s="7"/>
    </row>
    <row r="540" spans="2:20">
      <c r="D540" s="23"/>
      <c r="E540" s="13"/>
      <c r="F540" s="13"/>
      <c r="G540" s="13"/>
      <c r="H540" s="13"/>
      <c r="I540" s="13"/>
      <c r="J540" s="23"/>
      <c r="K540" s="23"/>
      <c r="L540" s="23"/>
      <c r="M540" s="23"/>
      <c r="N540" s="23"/>
      <c r="O540" s="23"/>
      <c r="P540" s="22"/>
      <c r="Q540" s="15" t="str">
        <f t="shared" ref="Q540:Q550" si="110">IF(O540&lt;&gt;0,P540/O540,"           -")</f>
        <v xml:space="preserve">           -</v>
      </c>
      <c r="R540" s="7"/>
      <c r="T540" s="7"/>
    </row>
    <row r="541" spans="2:20">
      <c r="D541" s="23" t="s">
        <v>8</v>
      </c>
      <c r="E541" s="13">
        <v>22</v>
      </c>
      <c r="F541" s="13">
        <v>22</v>
      </c>
      <c r="G541" s="13">
        <v>18</v>
      </c>
      <c r="H541" s="13">
        <v>16</v>
      </c>
      <c r="I541" s="13">
        <v>15</v>
      </c>
      <c r="J541" s="23">
        <v>16</v>
      </c>
      <c r="K541" s="23">
        <v>16</v>
      </c>
      <c r="L541" s="23">
        <v>15</v>
      </c>
      <c r="M541" s="23">
        <v>14</v>
      </c>
      <c r="N541" s="23">
        <v>14</v>
      </c>
      <c r="O541" s="23">
        <v>14</v>
      </c>
      <c r="P541" s="22">
        <f>Table3696156[[#This Row],[10/31/23]]-Table3696156[[#This Row],[10/31/22]]</f>
        <v>0</v>
      </c>
      <c r="Q541" s="15">
        <f t="shared" si="110"/>
        <v>0</v>
      </c>
      <c r="R541" s="7"/>
      <c r="T541" s="7"/>
    </row>
    <row r="542" spans="2:20">
      <c r="D542" s="23" t="s">
        <v>9</v>
      </c>
      <c r="E542" s="13">
        <v>591</v>
      </c>
      <c r="F542" s="13">
        <v>567</v>
      </c>
      <c r="G542" s="13">
        <v>556</v>
      </c>
      <c r="H542" s="13">
        <v>589</v>
      </c>
      <c r="I542" s="13">
        <v>617</v>
      </c>
      <c r="J542" s="23">
        <v>655</v>
      </c>
      <c r="K542" s="23">
        <v>668</v>
      </c>
      <c r="L542" s="23">
        <v>661</v>
      </c>
      <c r="M542" s="23">
        <v>647</v>
      </c>
      <c r="N542" s="23">
        <v>630</v>
      </c>
      <c r="O542" s="23">
        <v>577</v>
      </c>
      <c r="P542" s="22">
        <f>Table3696156[[#This Row],[10/31/23]]-Table3696156[[#This Row],[10/31/22]]</f>
        <v>-53</v>
      </c>
      <c r="Q542" s="15">
        <f t="shared" si="110"/>
        <v>-9.1854419410745236E-2</v>
      </c>
      <c r="R542" s="7"/>
      <c r="T542" s="7"/>
    </row>
    <row r="543" spans="2:20">
      <c r="D543" s="23" t="s">
        <v>10</v>
      </c>
      <c r="E543" s="13">
        <v>479</v>
      </c>
      <c r="F543" s="13">
        <v>446</v>
      </c>
      <c r="G543" s="13">
        <v>397</v>
      </c>
      <c r="H543" s="13">
        <v>411</v>
      </c>
      <c r="I543" s="13">
        <v>412</v>
      </c>
      <c r="J543" s="23">
        <v>438</v>
      </c>
      <c r="K543" s="23">
        <v>444</v>
      </c>
      <c r="L543" s="23">
        <v>461</v>
      </c>
      <c r="M543" s="23">
        <v>477</v>
      </c>
      <c r="N543" s="23">
        <v>468</v>
      </c>
      <c r="O543" s="23">
        <v>482</v>
      </c>
      <c r="P543" s="22">
        <f>Table3696156[[#This Row],[10/31/23]]-Table3696156[[#This Row],[10/31/21]]</f>
        <v>5</v>
      </c>
      <c r="Q543" s="15">
        <f t="shared" si="110"/>
        <v>1.0373443983402489E-2</v>
      </c>
      <c r="R543" s="7"/>
      <c r="T543" s="7"/>
    </row>
    <row r="544" spans="2:20">
      <c r="D544" s="23" t="s">
        <v>11</v>
      </c>
      <c r="E544" s="13">
        <v>288</v>
      </c>
      <c r="F544" s="13">
        <v>282</v>
      </c>
      <c r="G544" s="13">
        <v>262</v>
      </c>
      <c r="H544" s="13">
        <v>264</v>
      </c>
      <c r="I544" s="13">
        <v>271</v>
      </c>
      <c r="J544" s="23">
        <v>263</v>
      </c>
      <c r="K544" s="23">
        <v>258</v>
      </c>
      <c r="L544" s="23">
        <v>248</v>
      </c>
      <c r="M544" s="23">
        <v>233</v>
      </c>
      <c r="N544" s="23">
        <v>233</v>
      </c>
      <c r="O544" s="23">
        <v>218</v>
      </c>
      <c r="P544" s="22">
        <f>Table3696156[[#This Row],[10/31/23]]-Table3696156[[#This Row],[10/31/22]]</f>
        <v>-15</v>
      </c>
      <c r="Q544" s="15">
        <f t="shared" si="110"/>
        <v>-6.8807339449541288E-2</v>
      </c>
      <c r="R544" s="7"/>
      <c r="T544" s="7"/>
    </row>
    <row r="545" spans="1:20">
      <c r="D545" s="23"/>
      <c r="E545" s="13"/>
      <c r="F545" s="13"/>
      <c r="G545" s="13"/>
      <c r="H545" s="13"/>
      <c r="I545" s="13"/>
      <c r="J545" s="23"/>
      <c r="K545" s="23"/>
      <c r="L545" s="23"/>
      <c r="M545" s="23"/>
      <c r="N545" s="23"/>
      <c r="O545" s="23"/>
      <c r="P545" s="22"/>
      <c r="Q545" s="15" t="str">
        <f t="shared" si="110"/>
        <v xml:space="preserve">           -</v>
      </c>
      <c r="R545" s="7"/>
      <c r="T545" s="7"/>
    </row>
    <row r="546" spans="1:20">
      <c r="D546" s="23" t="s">
        <v>12</v>
      </c>
      <c r="E546" s="13">
        <v>1019</v>
      </c>
      <c r="F546" s="13">
        <v>966</v>
      </c>
      <c r="G546" s="13">
        <v>847</v>
      </c>
      <c r="H546" s="13">
        <v>875</v>
      </c>
      <c r="I546" s="13">
        <v>881</v>
      </c>
      <c r="J546" s="77">
        <v>920</v>
      </c>
      <c r="K546" s="77">
        <v>933</v>
      </c>
      <c r="L546" s="77">
        <v>938</v>
      </c>
      <c r="M546" s="77">
        <v>943</v>
      </c>
      <c r="N546" s="77">
        <v>929</v>
      </c>
      <c r="O546" s="77">
        <v>901</v>
      </c>
      <c r="P546" s="22">
        <f>Table3696156[[#This Row],[10/31/23]]-Table3696156[[#This Row],[10/31/22]]</f>
        <v>-28</v>
      </c>
      <c r="Q546" s="15">
        <f t="shared" si="110"/>
        <v>-3.1076581576026639E-2</v>
      </c>
      <c r="R546" s="7"/>
      <c r="T546" s="7"/>
    </row>
    <row r="547" spans="1:20">
      <c r="D547" s="23" t="s">
        <v>13</v>
      </c>
      <c r="E547" s="13">
        <v>361</v>
      </c>
      <c r="F547" s="13">
        <v>351</v>
      </c>
      <c r="G547" s="13">
        <v>386</v>
      </c>
      <c r="H547" s="13">
        <v>405</v>
      </c>
      <c r="I547" s="13">
        <v>434</v>
      </c>
      <c r="J547" s="23">
        <v>452</v>
      </c>
      <c r="K547" s="23">
        <v>453</v>
      </c>
      <c r="L547" s="23">
        <v>447</v>
      </c>
      <c r="M547" s="23">
        <v>428</v>
      </c>
      <c r="N547" s="23">
        <v>416</v>
      </c>
      <c r="O547" s="23">
        <v>390</v>
      </c>
      <c r="P547" s="22">
        <f>Table3696156[[#This Row],[10/31/23]]-Table3696156[[#This Row],[10/31/22]]</f>
        <v>-26</v>
      </c>
      <c r="Q547" s="15">
        <f t="shared" si="110"/>
        <v>-6.6666666666666666E-2</v>
      </c>
      <c r="R547" s="7"/>
      <c r="T547" s="7"/>
    </row>
    <row r="548" spans="1:20">
      <c r="D548" s="23"/>
      <c r="E548" s="13"/>
      <c r="F548" s="13"/>
      <c r="G548" s="13"/>
      <c r="H548" s="13"/>
      <c r="I548" s="13"/>
      <c r="J548" s="23"/>
      <c r="K548" s="23"/>
      <c r="L548" s="23"/>
      <c r="M548" s="23"/>
      <c r="N548" s="23"/>
      <c r="O548" s="23"/>
      <c r="P548" s="22">
        <f>Table3696156[[#This Row],[10/31/23]]-Table3696156[[#This Row],[10/31/22]]</f>
        <v>0</v>
      </c>
      <c r="Q548" s="15" t="str">
        <f t="shared" si="110"/>
        <v xml:space="preserve">           -</v>
      </c>
      <c r="R548" s="7"/>
      <c r="T548" s="7"/>
    </row>
    <row r="549" spans="1:20">
      <c r="D549" s="23" t="s">
        <v>14</v>
      </c>
      <c r="E549" s="13">
        <v>1132</v>
      </c>
      <c r="F549" s="13">
        <v>1064</v>
      </c>
      <c r="G549" s="13">
        <v>928</v>
      </c>
      <c r="H549" s="13">
        <v>955</v>
      </c>
      <c r="I549" s="13">
        <v>959</v>
      </c>
      <c r="J549" s="77">
        <v>1004</v>
      </c>
      <c r="K549" s="77">
        <v>1015</v>
      </c>
      <c r="L549" s="77">
        <v>1017</v>
      </c>
      <c r="M549" s="77">
        <v>1014</v>
      </c>
      <c r="N549" s="77">
        <v>994</v>
      </c>
      <c r="O549" s="77">
        <v>970</v>
      </c>
      <c r="P549" s="22">
        <f>Table3696156[[#This Row],[10/31/23]]-Table3696156[[#This Row],[10/31/22]]</f>
        <v>-24</v>
      </c>
      <c r="Q549" s="15">
        <f t="shared" si="110"/>
        <v>-2.4742268041237112E-2</v>
      </c>
      <c r="R549" s="7"/>
      <c r="T549" s="7"/>
    </row>
    <row r="550" spans="1:20">
      <c r="D550" s="23" t="s">
        <v>15</v>
      </c>
      <c r="E550" s="13">
        <v>248</v>
      </c>
      <c r="F550" s="13">
        <v>253</v>
      </c>
      <c r="G550" s="13">
        <v>305</v>
      </c>
      <c r="H550" s="13">
        <v>325</v>
      </c>
      <c r="I550" s="13">
        <v>356</v>
      </c>
      <c r="J550" s="23">
        <v>368</v>
      </c>
      <c r="K550" s="23">
        <v>371</v>
      </c>
      <c r="L550" s="23">
        <v>368</v>
      </c>
      <c r="M550" s="23">
        <v>357</v>
      </c>
      <c r="N550" s="23">
        <v>351</v>
      </c>
      <c r="O550" s="23">
        <v>321</v>
      </c>
      <c r="P550" s="22">
        <f>Table3696156[[#This Row],[10/31/23]]-Table3696156[[#This Row],[10/31/22]]</f>
        <v>-30</v>
      </c>
      <c r="Q550" s="15">
        <f t="shared" si="110"/>
        <v>-9.3457943925233641E-2</v>
      </c>
      <c r="R550" s="7"/>
      <c r="T550" s="7"/>
    </row>
    <row r="551" spans="1:20">
      <c r="D551" s="23"/>
      <c r="E551" s="13"/>
      <c r="F551" s="13"/>
      <c r="G551" s="13"/>
      <c r="H551" s="13"/>
      <c r="I551" s="13"/>
      <c r="J551" s="13"/>
      <c r="K551" s="23"/>
      <c r="L551" s="23"/>
      <c r="M551" s="23"/>
      <c r="N551" s="23"/>
      <c r="O551" s="22"/>
      <c r="P551" s="22"/>
      <c r="Q551" s="15"/>
      <c r="R551" s="7"/>
    </row>
    <row r="552" spans="1:20" ht="15.75">
      <c r="C552" s="16" t="s">
        <v>16</v>
      </c>
      <c r="D552" s="23"/>
      <c r="E552" s="13"/>
      <c r="F552" s="13"/>
      <c r="G552" s="13"/>
      <c r="H552" s="13"/>
      <c r="I552" s="13"/>
      <c r="J552" s="13"/>
      <c r="K552" s="23"/>
      <c r="L552" s="23"/>
      <c r="M552" s="23"/>
      <c r="N552" s="23"/>
      <c r="O552" s="22"/>
      <c r="P552" s="15"/>
      <c r="Q552" s="7"/>
      <c r="R552" s="7"/>
    </row>
    <row r="553" spans="1:20" ht="15.75">
      <c r="C553" s="16"/>
      <c r="D553" s="17" t="s">
        <v>45</v>
      </c>
      <c r="E553" s="19" t="s">
        <v>2</v>
      </c>
      <c r="F553" s="19" t="s">
        <v>3</v>
      </c>
      <c r="G553" s="19" t="s">
        <v>4</v>
      </c>
      <c r="H553" s="19" t="s">
        <v>5</v>
      </c>
      <c r="I553" s="19" t="s">
        <v>46</v>
      </c>
      <c r="J553" s="18" t="s">
        <v>47</v>
      </c>
      <c r="K553" s="18" t="s">
        <v>42</v>
      </c>
      <c r="L553" s="18" t="s">
        <v>43</v>
      </c>
      <c r="M553" s="18" t="s">
        <v>44</v>
      </c>
      <c r="N553" s="18" t="s">
        <v>54</v>
      </c>
      <c r="O553" s="18" t="s">
        <v>55</v>
      </c>
      <c r="P553" s="20" t="s">
        <v>49</v>
      </c>
      <c r="Q553" s="21" t="s">
        <v>50</v>
      </c>
      <c r="R553" s="7"/>
      <c r="T553" s="7"/>
    </row>
    <row r="554" spans="1:20">
      <c r="D554" s="24" t="s">
        <v>8</v>
      </c>
      <c r="E554" s="13">
        <v>22</v>
      </c>
      <c r="F554" s="13">
        <v>22</v>
      </c>
      <c r="G554" s="13">
        <v>17</v>
      </c>
      <c r="H554" s="13">
        <v>16</v>
      </c>
      <c r="I554" s="13">
        <v>15</v>
      </c>
      <c r="J554" s="23">
        <v>16</v>
      </c>
      <c r="K554" s="23">
        <v>16</v>
      </c>
      <c r="L554" s="23">
        <v>15</v>
      </c>
      <c r="M554" s="23">
        <v>14</v>
      </c>
      <c r="N554" s="23">
        <v>14</v>
      </c>
      <c r="O554" s="23">
        <v>14</v>
      </c>
      <c r="P554" s="22">
        <f>Table3797157[[#This Row],[10/31/23]]-Table3797157[[#This Row],[10/31/22]]</f>
        <v>0</v>
      </c>
      <c r="Q554" s="15">
        <f t="shared" ref="Q554:Q558" si="111">IF(O554&lt;&gt;0,P554/O554,"           -")</f>
        <v>0</v>
      </c>
      <c r="R554" s="23"/>
      <c r="T554" s="7"/>
    </row>
    <row r="555" spans="1:20">
      <c r="D555" s="24" t="s">
        <v>9</v>
      </c>
      <c r="E555" s="13">
        <v>317</v>
      </c>
      <c r="F555" s="13">
        <v>294</v>
      </c>
      <c r="G555" s="13">
        <v>237</v>
      </c>
      <c r="H555" s="13">
        <v>247</v>
      </c>
      <c r="I555" s="13">
        <v>244</v>
      </c>
      <c r="J555" s="23">
        <v>271</v>
      </c>
      <c r="K555" s="23">
        <v>280</v>
      </c>
      <c r="L555" s="23">
        <v>275</v>
      </c>
      <c r="M555" s="23">
        <v>276</v>
      </c>
      <c r="N555" s="23">
        <v>268</v>
      </c>
      <c r="O555" s="23">
        <v>247</v>
      </c>
      <c r="P555" s="22">
        <f>Table3797157[[#This Row],[10/31/23]]-Table3797157[[#This Row],[10/31/22]]</f>
        <v>-21</v>
      </c>
      <c r="Q555" s="15">
        <f t="shared" si="111"/>
        <v>-8.5020242914979755E-2</v>
      </c>
      <c r="R555" s="23"/>
      <c r="T555" s="7"/>
    </row>
    <row r="556" spans="1:20">
      <c r="D556" s="24" t="s">
        <v>10</v>
      </c>
      <c r="E556" s="13">
        <v>424</v>
      </c>
      <c r="F556" s="13">
        <v>395</v>
      </c>
      <c r="G556" s="13">
        <v>357</v>
      </c>
      <c r="H556" s="13">
        <v>372</v>
      </c>
      <c r="I556" s="13">
        <v>374</v>
      </c>
      <c r="J556" s="23">
        <v>392</v>
      </c>
      <c r="K556" s="23">
        <v>400</v>
      </c>
      <c r="L556" s="23">
        <v>417</v>
      </c>
      <c r="M556" s="23">
        <v>436</v>
      </c>
      <c r="N556" s="23">
        <v>430</v>
      </c>
      <c r="O556" s="23">
        <v>438</v>
      </c>
      <c r="P556" s="22">
        <f>Table3797157[[#This Row],[10/31/23]]-Table3797157[[#This Row],[10/31/22]]</f>
        <v>8</v>
      </c>
      <c r="Q556" s="15">
        <f t="shared" si="111"/>
        <v>1.8264840182648401E-2</v>
      </c>
      <c r="R556" s="23"/>
      <c r="T556" s="7"/>
    </row>
    <row r="557" spans="1:20">
      <c r="A557" s="65"/>
      <c r="D557" s="24" t="s">
        <v>11</v>
      </c>
      <c r="E557" s="13">
        <v>256</v>
      </c>
      <c r="F557" s="13">
        <v>255</v>
      </c>
      <c r="G557" s="13">
        <v>236</v>
      </c>
      <c r="H557" s="13">
        <v>240</v>
      </c>
      <c r="I557" s="13">
        <v>248</v>
      </c>
      <c r="J557" s="23">
        <v>241</v>
      </c>
      <c r="K557" s="23">
        <v>237</v>
      </c>
      <c r="L557" s="23">
        <v>231</v>
      </c>
      <c r="M557" s="23">
        <v>217</v>
      </c>
      <c r="N557" s="23">
        <v>217</v>
      </c>
      <c r="O557" s="23">
        <v>202</v>
      </c>
      <c r="P557" s="22">
        <f>Table3797157[[#This Row],[10/31/23]]-Table3797157[[#This Row],[10/31/22]]</f>
        <v>-15</v>
      </c>
      <c r="Q557" s="15">
        <f t="shared" si="111"/>
        <v>-7.4257425742574254E-2</v>
      </c>
      <c r="R557" s="23"/>
      <c r="T557" s="7"/>
    </row>
    <row r="558" spans="1:20">
      <c r="D558" s="24" t="s">
        <v>7</v>
      </c>
      <c r="E558" s="13">
        <v>1019</v>
      </c>
      <c r="F558" s="13">
        <v>966</v>
      </c>
      <c r="G558" s="13">
        <v>847</v>
      </c>
      <c r="H558" s="13">
        <v>875</v>
      </c>
      <c r="I558" s="13">
        <v>881</v>
      </c>
      <c r="J558" s="13">
        <v>920</v>
      </c>
      <c r="K558" s="13">
        <v>933</v>
      </c>
      <c r="L558" s="13">
        <v>938</v>
      </c>
      <c r="M558" s="13">
        <v>943</v>
      </c>
      <c r="N558" s="13">
        <v>929</v>
      </c>
      <c r="O558" s="13">
        <v>901</v>
      </c>
      <c r="P558" s="22">
        <f>Table3797157[[#This Row],[10/31/23]]-Table3797157[[#This Row],[10/31/22]]</f>
        <v>-28</v>
      </c>
      <c r="Q558" s="15">
        <f t="shared" si="111"/>
        <v>-3.1076581576026639E-2</v>
      </c>
      <c r="R558" s="23"/>
      <c r="T558" s="7"/>
    </row>
    <row r="559" spans="1:20">
      <c r="D559" s="24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22"/>
      <c r="P559" s="15"/>
      <c r="Q559" s="23"/>
      <c r="R559" s="7"/>
    </row>
    <row r="560" spans="1:20">
      <c r="D560" s="23"/>
      <c r="E560" s="13"/>
      <c r="F560" s="13"/>
      <c r="G560" s="13"/>
      <c r="H560" s="13"/>
      <c r="I560" s="13"/>
      <c r="J560" s="13"/>
      <c r="K560" s="23"/>
      <c r="L560" s="23"/>
      <c r="M560" s="23"/>
      <c r="N560" s="23"/>
      <c r="O560" s="22"/>
      <c r="P560" s="15"/>
      <c r="Q560" s="23"/>
      <c r="R560" s="7"/>
    </row>
    <row r="561" spans="2:20" ht="18.75">
      <c r="B561" s="12" t="s">
        <v>51</v>
      </c>
      <c r="D561" s="23"/>
      <c r="E561" s="13"/>
      <c r="F561" s="13"/>
      <c r="G561" s="13"/>
      <c r="H561" s="13"/>
      <c r="I561" s="13"/>
      <c r="J561" s="13"/>
      <c r="K561" s="23"/>
      <c r="L561" s="23"/>
      <c r="M561" s="23"/>
      <c r="N561" s="23"/>
      <c r="O561" s="22"/>
      <c r="P561" s="15"/>
      <c r="Q561" s="23"/>
      <c r="R561" s="7"/>
    </row>
    <row r="562" spans="2:20">
      <c r="D562" s="23"/>
      <c r="E562" s="13"/>
      <c r="F562" s="13"/>
      <c r="G562" s="13"/>
      <c r="H562" s="13"/>
      <c r="I562" s="13"/>
      <c r="J562" s="13"/>
      <c r="K562" s="23"/>
      <c r="L562" s="23"/>
      <c r="M562" s="23"/>
      <c r="N562" s="23"/>
      <c r="O562" s="22"/>
      <c r="P562" s="15"/>
      <c r="Q562" s="23"/>
      <c r="R562" s="7"/>
    </row>
    <row r="563" spans="2:20" ht="18.75">
      <c r="C563" s="16" t="s">
        <v>52</v>
      </c>
      <c r="D563" s="23"/>
      <c r="E563" s="13"/>
      <c r="F563" s="13"/>
      <c r="G563" s="13"/>
      <c r="H563" s="13"/>
      <c r="I563" s="13"/>
      <c r="J563" s="13"/>
      <c r="K563" s="23"/>
      <c r="L563" s="23"/>
      <c r="M563" s="23"/>
      <c r="N563" s="23"/>
      <c r="O563" s="22"/>
      <c r="P563" s="15"/>
      <c r="Q563" s="23"/>
      <c r="R563" s="7"/>
    </row>
    <row r="564" spans="2:20" ht="15.75">
      <c r="C564" s="16"/>
      <c r="D564" s="17" t="s">
        <v>45</v>
      </c>
      <c r="E564" s="19" t="s">
        <v>2</v>
      </c>
      <c r="F564" s="19" t="s">
        <v>3</v>
      </c>
      <c r="G564" s="19" t="s">
        <v>4</v>
      </c>
      <c r="H564" s="19" t="s">
        <v>5</v>
      </c>
      <c r="I564" s="19" t="s">
        <v>46</v>
      </c>
      <c r="J564" s="18" t="s">
        <v>47</v>
      </c>
      <c r="K564" s="18" t="s">
        <v>42</v>
      </c>
      <c r="L564" s="18" t="s">
        <v>43</v>
      </c>
      <c r="M564" s="18" t="s">
        <v>44</v>
      </c>
      <c r="N564" s="18" t="s">
        <v>54</v>
      </c>
      <c r="O564" s="18" t="s">
        <v>55</v>
      </c>
      <c r="P564" s="20" t="s">
        <v>49</v>
      </c>
      <c r="Q564" s="21" t="s">
        <v>50</v>
      </c>
      <c r="R564" s="23"/>
      <c r="T564" s="7"/>
    </row>
    <row r="565" spans="2:20">
      <c r="D565" s="23" t="s">
        <v>8</v>
      </c>
      <c r="E565" s="48">
        <v>21</v>
      </c>
      <c r="F565" s="48">
        <v>21</v>
      </c>
      <c r="G565" s="48">
        <v>16</v>
      </c>
      <c r="H565" s="48">
        <v>15</v>
      </c>
      <c r="I565" s="48">
        <v>13</v>
      </c>
      <c r="J565" s="49">
        <v>14</v>
      </c>
      <c r="K565" s="49">
        <v>14</v>
      </c>
      <c r="L565" s="49">
        <v>13</v>
      </c>
      <c r="M565" s="49">
        <v>13</v>
      </c>
      <c r="N565" s="49">
        <v>13</v>
      </c>
      <c r="O565" s="49">
        <v>13</v>
      </c>
      <c r="P565" s="22">
        <f t="shared" ref="P565:P569" si="112">O565-N565</f>
        <v>0</v>
      </c>
      <c r="Q565" s="15">
        <f t="shared" ref="Q565:Q569" si="113">IF(O565&lt;&gt;0,P565/O565,"           -")</f>
        <v>0</v>
      </c>
      <c r="R565" s="23"/>
      <c r="T565" s="7"/>
    </row>
    <row r="566" spans="2:20">
      <c r="D566" s="23" t="s">
        <v>9</v>
      </c>
      <c r="E566" s="48">
        <v>396</v>
      </c>
      <c r="F566" s="48">
        <v>370</v>
      </c>
      <c r="G566" s="48">
        <v>332</v>
      </c>
      <c r="H566" s="48">
        <v>346</v>
      </c>
      <c r="I566" s="48">
        <v>350</v>
      </c>
      <c r="J566" s="49">
        <v>381</v>
      </c>
      <c r="K566" s="49">
        <v>398</v>
      </c>
      <c r="L566" s="49">
        <v>394</v>
      </c>
      <c r="M566" s="49">
        <v>397</v>
      </c>
      <c r="N566" s="49">
        <v>382</v>
      </c>
      <c r="O566" s="49">
        <v>348</v>
      </c>
      <c r="P566" s="22">
        <f t="shared" si="112"/>
        <v>-34</v>
      </c>
      <c r="Q566" s="15">
        <f t="shared" si="113"/>
        <v>-9.7701149425287362E-2</v>
      </c>
      <c r="R566" s="23"/>
      <c r="T566" s="7"/>
    </row>
    <row r="567" spans="2:20">
      <c r="D567" s="23" t="s">
        <v>10</v>
      </c>
      <c r="E567" s="48">
        <v>281</v>
      </c>
      <c r="F567" s="48">
        <v>259</v>
      </c>
      <c r="G567" s="48">
        <v>230</v>
      </c>
      <c r="H567" s="48">
        <v>227</v>
      </c>
      <c r="I567" s="48">
        <v>234</v>
      </c>
      <c r="J567" s="49">
        <v>250</v>
      </c>
      <c r="K567" s="49">
        <v>254</v>
      </c>
      <c r="L567" s="49">
        <v>257</v>
      </c>
      <c r="M567" s="49">
        <v>273</v>
      </c>
      <c r="N567" s="49">
        <v>270</v>
      </c>
      <c r="O567" s="49">
        <v>274</v>
      </c>
      <c r="P567" s="22">
        <f t="shared" si="112"/>
        <v>4</v>
      </c>
      <c r="Q567" s="15">
        <f t="shared" si="113"/>
        <v>1.4598540145985401E-2</v>
      </c>
      <c r="R567" s="23"/>
      <c r="T567" s="7"/>
    </row>
    <row r="568" spans="2:20">
      <c r="D568" s="23" t="s">
        <v>11</v>
      </c>
      <c r="E568" s="48">
        <v>237</v>
      </c>
      <c r="F568" s="48">
        <v>233</v>
      </c>
      <c r="G568" s="48">
        <v>215</v>
      </c>
      <c r="H568" s="48">
        <v>216</v>
      </c>
      <c r="I568" s="48">
        <v>220</v>
      </c>
      <c r="J568" s="49">
        <v>216</v>
      </c>
      <c r="K568" s="49">
        <v>216</v>
      </c>
      <c r="L568" s="49">
        <v>206</v>
      </c>
      <c r="M568" s="49">
        <v>190</v>
      </c>
      <c r="N568" s="49">
        <v>188</v>
      </c>
      <c r="O568" s="49">
        <v>176</v>
      </c>
      <c r="P568" s="22">
        <f t="shared" si="112"/>
        <v>-12</v>
      </c>
      <c r="Q568" s="15">
        <f t="shared" si="113"/>
        <v>-6.8181818181818177E-2</v>
      </c>
      <c r="R568" s="23"/>
      <c r="T568" s="7"/>
    </row>
    <row r="569" spans="2:20">
      <c r="D569" s="23" t="s">
        <v>7</v>
      </c>
      <c r="E569" s="47">
        <v>935</v>
      </c>
      <c r="F569" s="47">
        <v>883</v>
      </c>
      <c r="G569" s="47">
        <v>793</v>
      </c>
      <c r="H569" s="47">
        <v>804</v>
      </c>
      <c r="I569" s="47">
        <v>817</v>
      </c>
      <c r="J569" s="47">
        <v>861</v>
      </c>
      <c r="K569" s="47">
        <v>882</v>
      </c>
      <c r="L569" s="47">
        <v>870</v>
      </c>
      <c r="M569" s="47">
        <v>873</v>
      </c>
      <c r="N569" s="47">
        <v>853</v>
      </c>
      <c r="O569" s="47">
        <f>SUM(O565:O568)</f>
        <v>811</v>
      </c>
      <c r="P569" s="22">
        <f t="shared" si="112"/>
        <v>-42</v>
      </c>
      <c r="Q569" s="15">
        <f t="shared" si="113"/>
        <v>-5.1787916152897656E-2</v>
      </c>
      <c r="R569" s="23"/>
      <c r="T569" s="7"/>
    </row>
    <row r="570" spans="2:20">
      <c r="D570" s="23"/>
      <c r="E570" s="13"/>
      <c r="F570" s="25"/>
      <c r="G570" s="25"/>
      <c r="H570" s="25"/>
      <c r="I570" s="25"/>
      <c r="J570" s="25"/>
      <c r="K570" s="39"/>
      <c r="L570" s="39"/>
      <c r="M570" s="39"/>
      <c r="N570" s="39"/>
      <c r="O570" s="22"/>
      <c r="P570" s="15"/>
      <c r="Q570" s="23"/>
      <c r="R570" s="7"/>
    </row>
    <row r="571" spans="2:20" ht="18.75">
      <c r="C571" s="16" t="s">
        <v>53</v>
      </c>
      <c r="D571" s="23"/>
      <c r="E571" s="13"/>
      <c r="F571" s="25"/>
      <c r="G571" s="25"/>
      <c r="H571" s="25"/>
      <c r="I571" s="25"/>
      <c r="J571" s="25"/>
      <c r="K571" s="39"/>
      <c r="L571" s="39"/>
      <c r="M571" s="39"/>
      <c r="N571" s="39"/>
      <c r="O571" s="22"/>
      <c r="P571" s="15"/>
      <c r="Q571" s="23"/>
      <c r="R571" s="7"/>
    </row>
    <row r="572" spans="2:20" ht="15.75">
      <c r="C572" s="16"/>
      <c r="D572" s="17" t="s">
        <v>45</v>
      </c>
      <c r="E572" s="19" t="s">
        <v>2</v>
      </c>
      <c r="F572" s="19" t="s">
        <v>3</v>
      </c>
      <c r="G572" s="19" t="s">
        <v>4</v>
      </c>
      <c r="H572" s="19" t="s">
        <v>5</v>
      </c>
      <c r="I572" s="19" t="s">
        <v>46</v>
      </c>
      <c r="J572" s="18" t="s">
        <v>47</v>
      </c>
      <c r="K572" s="18" t="s">
        <v>42</v>
      </c>
      <c r="L572" s="18" t="s">
        <v>43</v>
      </c>
      <c r="M572" s="18" t="s">
        <v>44</v>
      </c>
      <c r="N572" s="18" t="s">
        <v>54</v>
      </c>
      <c r="O572" s="18" t="s">
        <v>55</v>
      </c>
      <c r="P572" s="20" t="s">
        <v>49</v>
      </c>
      <c r="Q572" s="21" t="s">
        <v>50</v>
      </c>
      <c r="R572" s="23"/>
      <c r="T572" s="7"/>
    </row>
    <row r="573" spans="2:20">
      <c r="D573" s="23" t="s">
        <v>8</v>
      </c>
      <c r="E573" s="25">
        <v>2</v>
      </c>
      <c r="F573" s="25">
        <v>2</v>
      </c>
      <c r="G573" s="25">
        <v>1</v>
      </c>
      <c r="H573" s="25">
        <v>1</v>
      </c>
      <c r="I573" s="25">
        <v>2</v>
      </c>
      <c r="J573" s="46">
        <v>2</v>
      </c>
      <c r="K573" s="46">
        <v>2</v>
      </c>
      <c r="L573" s="46">
        <v>2</v>
      </c>
      <c r="M573" s="46">
        <v>1</v>
      </c>
      <c r="N573" s="46">
        <v>1</v>
      </c>
      <c r="O573" s="46">
        <v>1</v>
      </c>
      <c r="P573" s="22">
        <f t="shared" ref="P573:P577" si="114">O573-N573</f>
        <v>0</v>
      </c>
      <c r="Q573" s="15">
        <f t="shared" ref="Q573:Q577" si="115">IF(O573&lt;&gt;0,P573/O573,"           -")</f>
        <v>0</v>
      </c>
      <c r="R573" s="23"/>
      <c r="T573" s="7"/>
    </row>
    <row r="574" spans="2:20">
      <c r="D574" s="23" t="s">
        <v>9</v>
      </c>
      <c r="E574" s="25">
        <v>11</v>
      </c>
      <c r="F574" s="25">
        <v>9</v>
      </c>
      <c r="G574" s="25">
        <v>6</v>
      </c>
      <c r="H574" s="25">
        <v>9</v>
      </c>
      <c r="I574" s="25">
        <v>8</v>
      </c>
      <c r="J574" s="46">
        <v>9</v>
      </c>
      <c r="K574" s="46">
        <v>8</v>
      </c>
      <c r="L574" s="46">
        <v>10</v>
      </c>
      <c r="M574" s="46">
        <v>7</v>
      </c>
      <c r="N574" s="46">
        <v>8</v>
      </c>
      <c r="O574" s="46">
        <v>8</v>
      </c>
      <c r="P574" s="22">
        <f t="shared" si="114"/>
        <v>0</v>
      </c>
      <c r="Q574" s="15">
        <f t="shared" si="115"/>
        <v>0</v>
      </c>
      <c r="R574" s="23"/>
      <c r="T574" s="7"/>
    </row>
    <row r="575" spans="2:20">
      <c r="D575" s="23" t="s">
        <v>10</v>
      </c>
      <c r="E575" s="25">
        <v>175</v>
      </c>
      <c r="F575" s="25">
        <v>164</v>
      </c>
      <c r="G575" s="25">
        <v>152</v>
      </c>
      <c r="H575" s="25">
        <v>168</v>
      </c>
      <c r="I575" s="25">
        <v>163</v>
      </c>
      <c r="J575" s="46">
        <v>169</v>
      </c>
      <c r="K575" s="46">
        <v>173</v>
      </c>
      <c r="L575" s="46">
        <v>188</v>
      </c>
      <c r="M575" s="46">
        <v>189</v>
      </c>
      <c r="N575" s="46">
        <v>186</v>
      </c>
      <c r="O575" s="46">
        <v>190</v>
      </c>
      <c r="P575" s="22">
        <f t="shared" si="114"/>
        <v>4</v>
      </c>
      <c r="Q575" s="15">
        <f t="shared" si="115"/>
        <v>2.1052631578947368E-2</v>
      </c>
      <c r="R575" s="23"/>
      <c r="T575" s="7"/>
    </row>
    <row r="576" spans="2:20">
      <c r="D576" s="23" t="s">
        <v>11</v>
      </c>
      <c r="E576" s="25">
        <v>38</v>
      </c>
      <c r="F576" s="25">
        <v>38</v>
      </c>
      <c r="G576" s="25">
        <v>37</v>
      </c>
      <c r="H576" s="25">
        <v>40</v>
      </c>
      <c r="I576" s="25">
        <v>42</v>
      </c>
      <c r="J576" s="46">
        <v>39</v>
      </c>
      <c r="K576" s="46">
        <v>36</v>
      </c>
      <c r="L576" s="46">
        <v>35</v>
      </c>
      <c r="M576" s="46">
        <v>37</v>
      </c>
      <c r="N576" s="46">
        <v>40</v>
      </c>
      <c r="O576" s="46">
        <v>37</v>
      </c>
      <c r="P576" s="22">
        <f t="shared" si="114"/>
        <v>-3</v>
      </c>
      <c r="Q576" s="15">
        <f t="shared" si="115"/>
        <v>-8.1081081081081086E-2</v>
      </c>
      <c r="R576" s="23"/>
      <c r="T576" s="7"/>
    </row>
    <row r="577" spans="2:20">
      <c r="D577" s="23" t="s">
        <v>7</v>
      </c>
      <c r="E577" s="25">
        <v>226</v>
      </c>
      <c r="F577" s="25">
        <v>213</v>
      </c>
      <c r="G577" s="25">
        <v>196</v>
      </c>
      <c r="H577" s="25">
        <v>218</v>
      </c>
      <c r="I577" s="25">
        <v>215</v>
      </c>
      <c r="J577" s="25">
        <v>219</v>
      </c>
      <c r="K577" s="25">
        <v>219</v>
      </c>
      <c r="L577" s="25">
        <v>235</v>
      </c>
      <c r="M577" s="25">
        <v>234</v>
      </c>
      <c r="N577" s="25">
        <v>235</v>
      </c>
      <c r="O577" s="25">
        <f>SUM(O573:O576)</f>
        <v>236</v>
      </c>
      <c r="P577" s="22">
        <f t="shared" si="114"/>
        <v>1</v>
      </c>
      <c r="Q577" s="15">
        <f t="shared" si="115"/>
        <v>4.2372881355932203E-3</v>
      </c>
      <c r="R577" s="23"/>
      <c r="T577" s="7"/>
    </row>
    <row r="578" spans="2:20">
      <c r="D578" s="23"/>
      <c r="E578" s="13"/>
      <c r="F578" s="25"/>
      <c r="G578" s="25"/>
      <c r="H578" s="25"/>
      <c r="I578" s="25"/>
      <c r="J578" s="25"/>
      <c r="K578" s="23"/>
      <c r="L578" s="23"/>
      <c r="M578" s="23"/>
      <c r="N578" s="23"/>
      <c r="O578" s="22"/>
      <c r="P578" s="15"/>
      <c r="Q578" s="23"/>
      <c r="R578" s="7"/>
    </row>
    <row r="579" spans="2:20" ht="15.75">
      <c r="C579" s="16" t="s">
        <v>17</v>
      </c>
      <c r="D579" s="23"/>
      <c r="E579" s="13"/>
      <c r="F579" s="25"/>
      <c r="G579" s="25"/>
      <c r="H579" s="25"/>
      <c r="I579" s="25"/>
      <c r="J579" s="25"/>
      <c r="K579" s="23"/>
      <c r="L579" s="23"/>
      <c r="M579" s="23"/>
      <c r="N579" s="23"/>
      <c r="O579" s="22"/>
      <c r="P579" s="15"/>
      <c r="Q579" s="23"/>
      <c r="R579" s="7"/>
    </row>
    <row r="580" spans="2:20" ht="15.75">
      <c r="C580" s="16"/>
      <c r="D580" s="17" t="s">
        <v>45</v>
      </c>
      <c r="E580" s="19" t="s">
        <v>2</v>
      </c>
      <c r="F580" s="19" t="s">
        <v>3</v>
      </c>
      <c r="G580" s="19" t="s">
        <v>4</v>
      </c>
      <c r="H580" s="19" t="s">
        <v>5</v>
      </c>
      <c r="I580" s="19" t="s">
        <v>46</v>
      </c>
      <c r="J580" s="18" t="s">
        <v>47</v>
      </c>
      <c r="K580" s="18" t="s">
        <v>42</v>
      </c>
      <c r="L580" s="18" t="s">
        <v>43</v>
      </c>
      <c r="M580" s="18" t="s">
        <v>44</v>
      </c>
      <c r="N580" s="18" t="s">
        <v>54</v>
      </c>
      <c r="O580" s="18" t="s">
        <v>55</v>
      </c>
      <c r="P580" s="20" t="s">
        <v>49</v>
      </c>
      <c r="Q580" s="21" t="s">
        <v>50</v>
      </c>
      <c r="R580" s="23"/>
      <c r="T580" s="7"/>
    </row>
    <row r="581" spans="2:20">
      <c r="D581" s="23" t="s">
        <v>8</v>
      </c>
      <c r="E581" s="25">
        <v>23</v>
      </c>
      <c r="F581" s="25">
        <v>23</v>
      </c>
      <c r="G581" s="25">
        <v>17</v>
      </c>
      <c r="H581" s="25">
        <v>16</v>
      </c>
      <c r="I581" s="25">
        <v>15</v>
      </c>
      <c r="J581" s="25">
        <v>16</v>
      </c>
      <c r="K581" s="25">
        <v>16</v>
      </c>
      <c r="L581" s="25">
        <v>15</v>
      </c>
      <c r="M581" s="25">
        <v>14</v>
      </c>
      <c r="N581" s="25">
        <v>14</v>
      </c>
      <c r="O581" s="25">
        <v>14</v>
      </c>
      <c r="P581" s="22">
        <f t="shared" ref="P581:P585" si="116">O581-N581</f>
        <v>0</v>
      </c>
      <c r="Q581" s="15">
        <f t="shared" ref="Q581:Q585" si="117">IF(O581&lt;&gt;0,P581/O581,"           -")</f>
        <v>0</v>
      </c>
      <c r="R581" s="23"/>
      <c r="T581" s="7"/>
    </row>
    <row r="582" spans="2:20">
      <c r="D582" s="23" t="s">
        <v>9</v>
      </c>
      <c r="E582" s="25">
        <v>407</v>
      </c>
      <c r="F582" s="25">
        <v>379</v>
      </c>
      <c r="G582" s="25">
        <v>338</v>
      </c>
      <c r="H582" s="25">
        <v>355</v>
      </c>
      <c r="I582" s="25">
        <v>358</v>
      </c>
      <c r="J582" s="25">
        <v>390</v>
      </c>
      <c r="K582" s="25">
        <v>406</v>
      </c>
      <c r="L582" s="25">
        <v>404</v>
      </c>
      <c r="M582" s="25">
        <v>404</v>
      </c>
      <c r="N582" s="25">
        <v>390</v>
      </c>
      <c r="O582" s="25">
        <v>356</v>
      </c>
      <c r="P582" s="22">
        <f t="shared" si="116"/>
        <v>-34</v>
      </c>
      <c r="Q582" s="15">
        <f t="shared" si="117"/>
        <v>-9.5505617977528087E-2</v>
      </c>
      <c r="S582" s="10"/>
      <c r="T582" s="7"/>
    </row>
    <row r="583" spans="2:20">
      <c r="D583" s="23" t="s">
        <v>10</v>
      </c>
      <c r="E583" s="25">
        <v>456</v>
      </c>
      <c r="F583" s="25">
        <v>423</v>
      </c>
      <c r="G583" s="25">
        <v>382</v>
      </c>
      <c r="H583" s="25">
        <v>395</v>
      </c>
      <c r="I583" s="25">
        <v>397</v>
      </c>
      <c r="J583" s="25">
        <v>419</v>
      </c>
      <c r="K583" s="25">
        <v>427</v>
      </c>
      <c r="L583" s="25">
        <v>445</v>
      </c>
      <c r="M583" s="25">
        <v>462</v>
      </c>
      <c r="N583" s="25">
        <v>456</v>
      </c>
      <c r="O583" s="25">
        <v>464</v>
      </c>
      <c r="P583" s="22">
        <f t="shared" si="116"/>
        <v>8</v>
      </c>
      <c r="Q583" s="15">
        <f t="shared" si="117"/>
        <v>1.7241379310344827E-2</v>
      </c>
      <c r="S583" s="68"/>
      <c r="T583" s="7"/>
    </row>
    <row r="584" spans="2:20">
      <c r="D584" s="23" t="s">
        <v>11</v>
      </c>
      <c r="E584" s="25">
        <v>275</v>
      </c>
      <c r="F584" s="25">
        <v>271</v>
      </c>
      <c r="G584" s="25">
        <v>252</v>
      </c>
      <c r="H584" s="25">
        <v>256</v>
      </c>
      <c r="I584" s="25">
        <v>262</v>
      </c>
      <c r="J584" s="25">
        <v>255</v>
      </c>
      <c r="K584" s="25">
        <v>252</v>
      </c>
      <c r="L584" s="25">
        <v>241</v>
      </c>
      <c r="M584" s="25">
        <v>227</v>
      </c>
      <c r="N584" s="25">
        <v>228</v>
      </c>
      <c r="O584" s="25">
        <v>213</v>
      </c>
      <c r="P584" s="22">
        <f t="shared" si="116"/>
        <v>-15</v>
      </c>
      <c r="Q584" s="15">
        <f t="shared" si="117"/>
        <v>-7.0422535211267609E-2</v>
      </c>
      <c r="S584" s="10"/>
      <c r="T584" s="7"/>
    </row>
    <row r="585" spans="2:20">
      <c r="D585" s="23" t="s">
        <v>7</v>
      </c>
      <c r="E585" s="13">
        <v>1161</v>
      </c>
      <c r="F585" s="13">
        <v>1096</v>
      </c>
      <c r="G585" s="13">
        <v>989</v>
      </c>
      <c r="H585" s="13">
        <v>1022</v>
      </c>
      <c r="I585" s="13">
        <v>1032</v>
      </c>
      <c r="J585" s="13">
        <v>1080</v>
      </c>
      <c r="K585" s="13">
        <v>1101</v>
      </c>
      <c r="L585" s="13">
        <v>1105</v>
      </c>
      <c r="M585" s="13">
        <v>1107</v>
      </c>
      <c r="N585" s="13">
        <v>1088</v>
      </c>
      <c r="O585" s="13">
        <f>SUM(O581:O584)</f>
        <v>1047</v>
      </c>
      <c r="P585" s="22">
        <f t="shared" si="116"/>
        <v>-41</v>
      </c>
      <c r="Q585" s="15">
        <f t="shared" si="117"/>
        <v>-3.9159503342884434E-2</v>
      </c>
      <c r="S585" s="10"/>
      <c r="T585" s="7"/>
    </row>
    <row r="586" spans="2:20">
      <c r="D586" s="69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70"/>
      <c r="Q586" s="71"/>
    </row>
    <row r="587" spans="2:20">
      <c r="B587" s="7" t="str">
        <f>"_________________________"</f>
        <v>_________________________</v>
      </c>
    </row>
    <row r="588" spans="2:20" ht="18">
      <c r="C588" s="67">
        <v>1</v>
      </c>
      <c r="D588" s="7" t="s">
        <v>18</v>
      </c>
    </row>
    <row r="589" spans="2:20" ht="18">
      <c r="C589" s="67">
        <v>2</v>
      </c>
      <c r="D589" s="7" t="s">
        <v>19</v>
      </c>
    </row>
    <row r="590" spans="2:20" ht="18">
      <c r="C590" s="67"/>
      <c r="D590" s="7" t="s">
        <v>20</v>
      </c>
    </row>
    <row r="591" spans="2:20" ht="18">
      <c r="C591" s="67">
        <v>3</v>
      </c>
      <c r="D591" s="7" t="s">
        <v>21</v>
      </c>
    </row>
    <row r="592" spans="2:20">
      <c r="D592" s="7" t="s">
        <v>22</v>
      </c>
    </row>
    <row r="593" spans="1:19">
      <c r="D593" s="7" t="s">
        <v>23</v>
      </c>
    </row>
    <row r="594" spans="1:19" ht="18">
      <c r="C594" s="67">
        <v>4</v>
      </c>
      <c r="D594" s="7" t="s">
        <v>24</v>
      </c>
    </row>
    <row r="595" spans="1:19" ht="18">
      <c r="C595" s="67"/>
    </row>
    <row r="596" spans="1:19" ht="18">
      <c r="C596" s="67"/>
    </row>
    <row r="597" spans="1:19" ht="18">
      <c r="C597" s="67"/>
    </row>
    <row r="598" spans="1:19" ht="18">
      <c r="C598" s="67"/>
    </row>
    <row r="599" spans="1:19" ht="18">
      <c r="C599" s="67"/>
    </row>
    <row r="600" spans="1:19">
      <c r="B600" s="7" t="s">
        <v>25</v>
      </c>
    </row>
    <row r="601" spans="1:19">
      <c r="B601" s="7" t="str">
        <f>B75</f>
        <v>November 13, 2023</v>
      </c>
    </row>
    <row r="602" spans="1:19" s="50" customFormat="1" ht="15.75">
      <c r="A602" s="30"/>
      <c r="Q602" s="8"/>
      <c r="R602" s="8"/>
      <c r="S602" s="30"/>
    </row>
    <row r="603" spans="1:19" s="50" customFormat="1" ht="15.75">
      <c r="A603" s="30"/>
      <c r="Q603" s="51"/>
      <c r="R603" s="8"/>
      <c r="S603" s="30"/>
    </row>
    <row r="604" spans="1:19">
      <c r="Q604" s="52"/>
      <c r="R604" s="7"/>
    </row>
    <row r="605" spans="1:19">
      <c r="Q605" s="7"/>
      <c r="R605" s="7"/>
    </row>
    <row r="606" spans="1:19" ht="15.75">
      <c r="B606" s="30"/>
      <c r="C606" s="8"/>
      <c r="D606" s="8"/>
      <c r="E606" s="8"/>
      <c r="F606" s="8"/>
      <c r="G606" s="8"/>
      <c r="H606" s="8"/>
      <c r="I606" s="50"/>
      <c r="J606" s="9" t="s">
        <v>26</v>
      </c>
      <c r="K606" s="8"/>
      <c r="L606" s="8"/>
      <c r="M606" s="8"/>
      <c r="N606" s="8"/>
      <c r="O606" s="8"/>
      <c r="P606" s="8"/>
      <c r="Q606" s="7"/>
      <c r="R606" s="7"/>
    </row>
    <row r="607" spans="1:19" ht="15.75">
      <c r="B607" s="30"/>
      <c r="C607" s="8"/>
      <c r="D607" s="8"/>
      <c r="E607" s="8"/>
      <c r="F607" s="8"/>
      <c r="G607" s="8"/>
      <c r="H607" s="8"/>
      <c r="I607" s="50"/>
      <c r="J607" s="9" t="s">
        <v>35</v>
      </c>
      <c r="K607" s="8"/>
      <c r="L607" s="8"/>
      <c r="M607" s="8"/>
      <c r="N607" s="8"/>
      <c r="O607" s="8"/>
      <c r="P607" s="8"/>
      <c r="Q607" s="7"/>
      <c r="R607" s="7"/>
    </row>
    <row r="608" spans="1:19">
      <c r="E608" s="51"/>
      <c r="F608" s="51"/>
      <c r="G608" s="51"/>
      <c r="H608" s="51"/>
      <c r="I608" s="51"/>
      <c r="J608" s="51"/>
      <c r="K608" s="51"/>
      <c r="L608" s="51"/>
      <c r="M608" s="51"/>
      <c r="O608" s="14"/>
      <c r="P608" s="14"/>
      <c r="Q608" s="7"/>
      <c r="R608" s="7"/>
    </row>
    <row r="609" spans="2:20">
      <c r="E609" s="51"/>
      <c r="F609" s="51"/>
      <c r="G609" s="51"/>
      <c r="H609" s="51"/>
      <c r="I609" s="51"/>
      <c r="J609" s="7"/>
      <c r="K609" s="7"/>
      <c r="L609" s="7"/>
      <c r="M609" s="7"/>
      <c r="O609" s="14"/>
      <c r="P609" s="14"/>
      <c r="Q609" s="7"/>
      <c r="R609" s="7"/>
    </row>
    <row r="610" spans="2:20" ht="18.75">
      <c r="B610" s="12" t="s">
        <v>48</v>
      </c>
      <c r="E610" s="7"/>
      <c r="H610" s="13"/>
      <c r="I610" s="13"/>
      <c r="J610" s="13"/>
      <c r="K610" s="7"/>
      <c r="L610" s="7"/>
      <c r="M610" s="7"/>
      <c r="N610" s="7"/>
      <c r="O610" s="14"/>
      <c r="P610" s="15"/>
      <c r="Q610" s="7"/>
      <c r="R610" s="7"/>
    </row>
    <row r="611" spans="2:20">
      <c r="E611" s="7"/>
      <c r="H611" s="13"/>
      <c r="I611" s="13"/>
      <c r="J611" s="13"/>
      <c r="K611" s="7"/>
      <c r="L611" s="7"/>
      <c r="M611" s="7"/>
      <c r="N611" s="7"/>
      <c r="O611" s="14"/>
      <c r="P611" s="15"/>
      <c r="Q611" s="7"/>
      <c r="R611" s="7"/>
    </row>
    <row r="612" spans="2:20" ht="15.75">
      <c r="C612" s="16" t="s">
        <v>6</v>
      </c>
      <c r="E612" s="7"/>
      <c r="H612" s="13"/>
      <c r="I612" s="13"/>
      <c r="J612" s="13"/>
      <c r="K612" s="7"/>
      <c r="L612" s="7"/>
      <c r="M612" s="7"/>
      <c r="N612" s="7"/>
      <c r="O612" s="14"/>
      <c r="P612" s="15"/>
      <c r="Q612" s="7"/>
      <c r="R612" s="7"/>
    </row>
    <row r="613" spans="2:20" ht="15.75">
      <c r="C613" s="16"/>
      <c r="D613" s="17" t="s">
        <v>45</v>
      </c>
      <c r="E613" s="19" t="s">
        <v>2</v>
      </c>
      <c r="F613" s="19" t="s">
        <v>3</v>
      </c>
      <c r="G613" s="19" t="s">
        <v>4</v>
      </c>
      <c r="H613" s="19" t="s">
        <v>5</v>
      </c>
      <c r="I613" s="19" t="s">
        <v>46</v>
      </c>
      <c r="J613" s="18" t="s">
        <v>47</v>
      </c>
      <c r="K613" s="18" t="s">
        <v>42</v>
      </c>
      <c r="L613" s="18" t="s">
        <v>43</v>
      </c>
      <c r="M613" s="18" t="s">
        <v>44</v>
      </c>
      <c r="N613" s="18" t="s">
        <v>54</v>
      </c>
      <c r="O613" s="18" t="s">
        <v>55</v>
      </c>
      <c r="P613" s="20" t="s">
        <v>49</v>
      </c>
      <c r="Q613" s="21" t="s">
        <v>50</v>
      </c>
      <c r="R613" s="7"/>
      <c r="T613" s="7"/>
    </row>
    <row r="614" spans="2:20">
      <c r="D614" s="23" t="s">
        <v>7</v>
      </c>
      <c r="E614" s="13">
        <v>10</v>
      </c>
      <c r="F614" s="13">
        <v>10</v>
      </c>
      <c r="G614" s="13">
        <v>10</v>
      </c>
      <c r="H614" s="13">
        <v>13</v>
      </c>
      <c r="I614" s="13">
        <v>16</v>
      </c>
      <c r="J614" s="13">
        <v>18</v>
      </c>
      <c r="K614" s="13">
        <v>14</v>
      </c>
      <c r="L614" s="13">
        <v>15</v>
      </c>
      <c r="M614" s="13">
        <v>14</v>
      </c>
      <c r="N614" s="13">
        <v>13</v>
      </c>
      <c r="O614" s="13">
        <v>12</v>
      </c>
      <c r="P614" s="22">
        <f>Table41101161[[#This Row],[10/31/23]]-Table41101161[[#This Row],[10/31/22]]</f>
        <v>-1</v>
      </c>
      <c r="Q614" s="15">
        <f>IF(O614&lt;&gt;0,P614/O614,"           -")</f>
        <v>-8.3333333333333329E-2</v>
      </c>
      <c r="R614" s="7"/>
      <c r="T614" s="7"/>
    </row>
    <row r="615" spans="2:20">
      <c r="D615" s="23"/>
      <c r="E615" s="13"/>
      <c r="F615" s="13"/>
      <c r="G615" s="13"/>
      <c r="H615" s="13"/>
      <c r="I615" s="13"/>
      <c r="J615" s="23"/>
      <c r="K615" s="23"/>
      <c r="L615" s="23"/>
      <c r="M615" s="23"/>
      <c r="N615" s="23"/>
      <c r="O615" s="23"/>
      <c r="P615" s="22"/>
      <c r="Q615" s="15"/>
      <c r="R615" s="7"/>
      <c r="T615" s="7"/>
    </row>
    <row r="616" spans="2:20">
      <c r="D616" s="23" t="s">
        <v>8</v>
      </c>
      <c r="E616" s="13">
        <v>8</v>
      </c>
      <c r="F616" s="13">
        <v>10</v>
      </c>
      <c r="G616" s="13">
        <v>10</v>
      </c>
      <c r="H616" s="13">
        <v>13</v>
      </c>
      <c r="I616" s="13">
        <v>16</v>
      </c>
      <c r="J616" s="23">
        <v>16</v>
      </c>
      <c r="K616" s="23">
        <v>13</v>
      </c>
      <c r="L616" s="23">
        <v>14</v>
      </c>
      <c r="M616" s="23">
        <v>13</v>
      </c>
      <c r="N616" s="23">
        <v>12</v>
      </c>
      <c r="O616" s="23">
        <v>11</v>
      </c>
      <c r="P616" s="22">
        <f>Table41101161[[#This Row],[10/31/23]]-Table41101161[[#This Row],[10/31/22]]</f>
        <v>-1</v>
      </c>
      <c r="Q616" s="15">
        <f t="shared" ref="Q616:Q625" si="118">IF(O616&lt;&gt;0,P616/O616,"           -")</f>
        <v>-9.0909090909090912E-2</v>
      </c>
      <c r="R616" s="7"/>
      <c r="T616" s="7"/>
    </row>
    <row r="617" spans="2:20">
      <c r="D617" s="23" t="s">
        <v>9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0</v>
      </c>
      <c r="P617" s="22">
        <f>Table41101161[[#This Row],[10/31/23]]-Table41101161[[#This Row],[10/31/22]]</f>
        <v>0</v>
      </c>
      <c r="Q617" s="15" t="str">
        <f t="shared" si="118"/>
        <v xml:space="preserve">           -</v>
      </c>
      <c r="R617" s="7"/>
      <c r="T617" s="7"/>
    </row>
    <row r="618" spans="2:20">
      <c r="D618" s="23" t="s">
        <v>10</v>
      </c>
      <c r="E618" s="13">
        <v>2</v>
      </c>
      <c r="F618" s="13">
        <v>0</v>
      </c>
      <c r="G618" s="13">
        <v>0</v>
      </c>
      <c r="H618" s="13">
        <v>0</v>
      </c>
      <c r="I618" s="13">
        <v>0</v>
      </c>
      <c r="J618" s="23">
        <v>2</v>
      </c>
      <c r="K618" s="23">
        <v>1</v>
      </c>
      <c r="L618" s="23">
        <v>1</v>
      </c>
      <c r="M618" s="23">
        <v>1</v>
      </c>
      <c r="N618" s="23">
        <v>1</v>
      </c>
      <c r="O618" s="23">
        <v>1</v>
      </c>
      <c r="P618" s="22">
        <f>Table41101161[[#This Row],[10/31/23]]-Table41101161[[#This Row],[10/31/22]]</f>
        <v>0</v>
      </c>
      <c r="Q618" s="15">
        <f t="shared" si="118"/>
        <v>0</v>
      </c>
      <c r="R618" s="7"/>
      <c r="T618" s="7"/>
    </row>
    <row r="619" spans="2:20">
      <c r="D619" s="23" t="s">
        <v>11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23">
        <v>0</v>
      </c>
      <c r="K619" s="23">
        <v>0</v>
      </c>
      <c r="L619" s="23">
        <v>0</v>
      </c>
      <c r="M619" s="23">
        <v>0</v>
      </c>
      <c r="N619" s="23">
        <v>0</v>
      </c>
      <c r="O619" s="23">
        <v>0</v>
      </c>
      <c r="P619" s="22">
        <f>Table41101161[[#This Row],[10/31/23]]-Table41101161[[#This Row],[10/31/22]]</f>
        <v>0</v>
      </c>
      <c r="Q619" s="15" t="str">
        <f t="shared" si="118"/>
        <v xml:space="preserve">           -</v>
      </c>
      <c r="R619" s="7"/>
      <c r="T619" s="7"/>
    </row>
    <row r="620" spans="2:20">
      <c r="D620" s="23"/>
      <c r="E620" s="13"/>
      <c r="F620" s="13"/>
      <c r="G620" s="13"/>
      <c r="H620" s="13"/>
      <c r="I620" s="13"/>
      <c r="J620" s="23"/>
      <c r="K620" s="23"/>
      <c r="L620" s="23"/>
      <c r="M620" s="23"/>
      <c r="N620" s="23"/>
      <c r="O620" s="23"/>
      <c r="P620" s="22"/>
      <c r="Q620" s="15"/>
      <c r="R620" s="7"/>
      <c r="T620" s="7"/>
    </row>
    <row r="621" spans="2:20">
      <c r="D621" s="23" t="s">
        <v>12</v>
      </c>
      <c r="E621" s="13">
        <v>10</v>
      </c>
      <c r="F621" s="13">
        <v>10</v>
      </c>
      <c r="G621" s="13">
        <v>9</v>
      </c>
      <c r="H621" s="13">
        <v>12</v>
      </c>
      <c r="I621" s="13">
        <v>15</v>
      </c>
      <c r="J621" s="77">
        <v>15</v>
      </c>
      <c r="K621" s="77">
        <v>13</v>
      </c>
      <c r="L621" s="77">
        <v>14</v>
      </c>
      <c r="M621" s="77">
        <v>14</v>
      </c>
      <c r="N621" s="77">
        <v>13</v>
      </c>
      <c r="O621" s="77">
        <v>12</v>
      </c>
      <c r="P621" s="22">
        <f>Table41101161[[#This Row],[10/31/23]]-Table41101161[[#This Row],[10/31/22]]</f>
        <v>-1</v>
      </c>
      <c r="Q621" s="15">
        <f t="shared" si="118"/>
        <v>-8.3333333333333329E-2</v>
      </c>
      <c r="R621" s="7"/>
      <c r="T621" s="7"/>
    </row>
    <row r="622" spans="2:20">
      <c r="D622" s="23" t="s">
        <v>13</v>
      </c>
      <c r="E622" s="13">
        <v>0</v>
      </c>
      <c r="F622" s="13">
        <v>0</v>
      </c>
      <c r="G622" s="13">
        <v>1</v>
      </c>
      <c r="H622" s="13">
        <v>1</v>
      </c>
      <c r="I622" s="13">
        <v>1</v>
      </c>
      <c r="J622" s="23">
        <v>3</v>
      </c>
      <c r="K622" s="23">
        <v>1</v>
      </c>
      <c r="L622" s="23">
        <v>1</v>
      </c>
      <c r="M622" s="23">
        <v>0</v>
      </c>
      <c r="N622" s="23">
        <v>0</v>
      </c>
      <c r="O622" s="23">
        <v>0</v>
      </c>
      <c r="P622" s="22">
        <f>Table41101161[[#This Row],[10/31/23]]-Table41101161[[#This Row],[10/31/22]]</f>
        <v>0</v>
      </c>
      <c r="Q622" s="15" t="str">
        <f t="shared" si="118"/>
        <v xml:space="preserve">           -</v>
      </c>
      <c r="R622" s="7"/>
      <c r="T622" s="7"/>
    </row>
    <row r="623" spans="2:20">
      <c r="D623" s="23"/>
      <c r="E623" s="13"/>
      <c r="F623" s="13"/>
      <c r="G623" s="13"/>
      <c r="H623" s="13"/>
      <c r="I623" s="13"/>
      <c r="J623" s="23"/>
      <c r="K623" s="23"/>
      <c r="L623" s="23"/>
      <c r="M623" s="23"/>
      <c r="N623" s="23"/>
      <c r="O623" s="23"/>
      <c r="P623" s="22"/>
      <c r="Q623" s="15"/>
      <c r="R623" s="7"/>
      <c r="T623" s="7"/>
    </row>
    <row r="624" spans="2:20">
      <c r="D624" s="23" t="s">
        <v>14</v>
      </c>
      <c r="E624" s="13">
        <v>10</v>
      </c>
      <c r="F624" s="13">
        <v>10</v>
      </c>
      <c r="G624" s="13">
        <v>10</v>
      </c>
      <c r="H624" s="13">
        <v>13</v>
      </c>
      <c r="I624" s="13">
        <v>16</v>
      </c>
      <c r="J624" s="77">
        <v>18</v>
      </c>
      <c r="K624" s="77">
        <v>14</v>
      </c>
      <c r="L624" s="77">
        <v>15</v>
      </c>
      <c r="M624" s="77">
        <v>14</v>
      </c>
      <c r="N624" s="77">
        <v>13</v>
      </c>
      <c r="O624" s="77">
        <v>12</v>
      </c>
      <c r="P624" s="22">
        <f>Table41101161[[#This Row],[10/31/23]]-Table41101161[[#This Row],[10/31/22]]</f>
        <v>-1</v>
      </c>
      <c r="Q624" s="15">
        <f t="shared" si="118"/>
        <v>-8.3333333333333329E-2</v>
      </c>
      <c r="R624" s="7"/>
      <c r="T624" s="7"/>
    </row>
    <row r="625" spans="1:20">
      <c r="D625" s="23" t="s">
        <v>15</v>
      </c>
      <c r="E625" s="13">
        <f>0</f>
        <v>0</v>
      </c>
      <c r="F625" s="13">
        <v>0</v>
      </c>
      <c r="G625" s="13">
        <v>0</v>
      </c>
      <c r="H625" s="13">
        <v>0</v>
      </c>
      <c r="I625" s="13">
        <v>0</v>
      </c>
      <c r="J625" s="23">
        <v>0</v>
      </c>
      <c r="K625" s="23">
        <v>0</v>
      </c>
      <c r="L625" s="23">
        <v>0</v>
      </c>
      <c r="M625" s="23">
        <v>0</v>
      </c>
      <c r="N625" s="23">
        <v>0</v>
      </c>
      <c r="O625" s="23">
        <v>0</v>
      </c>
      <c r="P625" s="22">
        <f>Table41101161[[#This Row],[10/31/23]]-Table41101161[[#This Row],[10/31/22]]</f>
        <v>0</v>
      </c>
      <c r="Q625" s="15" t="str">
        <f t="shared" si="118"/>
        <v xml:space="preserve">           -</v>
      </c>
      <c r="R625" s="7"/>
      <c r="T625" s="7"/>
    </row>
    <row r="626" spans="1:20">
      <c r="D626" s="23"/>
      <c r="E626" s="13"/>
      <c r="F626" s="13"/>
      <c r="G626" s="13"/>
      <c r="H626" s="13"/>
      <c r="I626" s="13"/>
      <c r="J626" s="13"/>
      <c r="K626" s="23"/>
      <c r="L626" s="23"/>
      <c r="M626" s="23"/>
      <c r="N626" s="23"/>
      <c r="O626" s="22"/>
      <c r="P626" s="15"/>
      <c r="Q626" s="7"/>
      <c r="R626" s="7"/>
    </row>
    <row r="627" spans="1:20" ht="15.75">
      <c r="C627" s="16" t="s">
        <v>16</v>
      </c>
      <c r="D627" s="23"/>
      <c r="E627" s="13"/>
      <c r="F627" s="13"/>
      <c r="G627" s="13"/>
      <c r="H627" s="13"/>
      <c r="I627" s="13"/>
      <c r="J627" s="13"/>
      <c r="K627" s="23"/>
      <c r="L627" s="23"/>
      <c r="M627" s="23"/>
      <c r="N627" s="23"/>
      <c r="O627" s="22"/>
      <c r="P627" s="15"/>
      <c r="Q627" s="7"/>
      <c r="R627" s="7"/>
    </row>
    <row r="628" spans="1:20" ht="15.75">
      <c r="C628" s="16"/>
      <c r="D628" s="17" t="s">
        <v>45</v>
      </c>
      <c r="E628" s="19" t="s">
        <v>2</v>
      </c>
      <c r="F628" s="19" t="s">
        <v>3</v>
      </c>
      <c r="G628" s="19" t="s">
        <v>4</v>
      </c>
      <c r="H628" s="19" t="s">
        <v>5</v>
      </c>
      <c r="I628" s="19" t="s">
        <v>46</v>
      </c>
      <c r="J628" s="18" t="s">
        <v>47</v>
      </c>
      <c r="K628" s="18" t="s">
        <v>42</v>
      </c>
      <c r="L628" s="18" t="s">
        <v>43</v>
      </c>
      <c r="M628" s="18" t="s">
        <v>44</v>
      </c>
      <c r="N628" s="18" t="s">
        <v>54</v>
      </c>
      <c r="O628" s="18" t="s">
        <v>55</v>
      </c>
      <c r="P628" s="20" t="s">
        <v>49</v>
      </c>
      <c r="Q628" s="21" t="s">
        <v>50</v>
      </c>
      <c r="R628" s="7"/>
      <c r="T628" s="7"/>
    </row>
    <row r="629" spans="1:20">
      <c r="D629" s="24" t="s">
        <v>8</v>
      </c>
      <c r="E629" s="13">
        <v>8</v>
      </c>
      <c r="F629" s="13">
        <v>10</v>
      </c>
      <c r="G629" s="13">
        <v>9</v>
      </c>
      <c r="H629" s="13">
        <v>12</v>
      </c>
      <c r="I629" s="13">
        <v>15</v>
      </c>
      <c r="J629" s="23">
        <v>14</v>
      </c>
      <c r="K629" s="23">
        <v>12</v>
      </c>
      <c r="L629" s="23">
        <v>13</v>
      </c>
      <c r="M629" s="23">
        <v>13</v>
      </c>
      <c r="N629" s="23">
        <v>12</v>
      </c>
      <c r="O629" s="23">
        <v>11</v>
      </c>
      <c r="P629" s="22">
        <f t="shared" ref="P629:P633" si="119">O629-N629</f>
        <v>-1</v>
      </c>
      <c r="Q629" s="15">
        <f>IF(O629&lt;&gt;0,P629/O629,"           -")</f>
        <v>-9.0909090909090912E-2</v>
      </c>
      <c r="R629" s="23"/>
      <c r="T629" s="7"/>
    </row>
    <row r="630" spans="1:20">
      <c r="D630" s="24" t="s">
        <v>9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23">
        <v>0</v>
      </c>
      <c r="K630" s="23">
        <v>0</v>
      </c>
      <c r="L630" s="23">
        <v>0</v>
      </c>
      <c r="M630" s="23">
        <v>0</v>
      </c>
      <c r="N630" s="23">
        <v>0</v>
      </c>
      <c r="O630" s="23">
        <v>0</v>
      </c>
      <c r="P630" s="22">
        <f t="shared" si="119"/>
        <v>0</v>
      </c>
      <c r="Q630" s="15" t="str">
        <f t="shared" ref="Q630:Q633" si="120">IF(O630&lt;&gt;0,P630/O630,"           -")</f>
        <v xml:space="preserve">           -</v>
      </c>
      <c r="R630" s="23"/>
      <c r="T630" s="7"/>
    </row>
    <row r="631" spans="1:20">
      <c r="D631" s="24" t="s">
        <v>10</v>
      </c>
      <c r="E631" s="13">
        <v>2</v>
      </c>
      <c r="F631" s="13">
        <v>0</v>
      </c>
      <c r="G631" s="13">
        <v>0</v>
      </c>
      <c r="H631" s="13">
        <v>0</v>
      </c>
      <c r="I631" s="13">
        <v>0</v>
      </c>
      <c r="J631" s="23">
        <v>1</v>
      </c>
      <c r="K631" s="23">
        <v>1</v>
      </c>
      <c r="L631" s="23">
        <v>1</v>
      </c>
      <c r="M631" s="23">
        <v>1</v>
      </c>
      <c r="N631" s="23">
        <v>1</v>
      </c>
      <c r="O631" s="23">
        <v>1</v>
      </c>
      <c r="P631" s="22">
        <f t="shared" si="119"/>
        <v>0</v>
      </c>
      <c r="Q631" s="15">
        <f t="shared" si="120"/>
        <v>0</v>
      </c>
      <c r="R631" s="23"/>
      <c r="T631" s="7"/>
    </row>
    <row r="632" spans="1:20">
      <c r="A632" s="65"/>
      <c r="D632" s="24" t="s">
        <v>11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23">
        <v>0</v>
      </c>
      <c r="K632" s="23">
        <v>0</v>
      </c>
      <c r="L632" s="23">
        <v>0</v>
      </c>
      <c r="M632" s="23">
        <v>0</v>
      </c>
      <c r="N632" s="23">
        <v>0</v>
      </c>
      <c r="O632" s="23">
        <v>0</v>
      </c>
      <c r="P632" s="22">
        <f t="shared" si="119"/>
        <v>0</v>
      </c>
      <c r="Q632" s="15" t="str">
        <f t="shared" si="120"/>
        <v xml:space="preserve">           -</v>
      </c>
      <c r="R632" s="23"/>
      <c r="T632" s="7"/>
    </row>
    <row r="633" spans="1:20">
      <c r="D633" s="24" t="s">
        <v>7</v>
      </c>
      <c r="E633" s="13">
        <f t="shared" ref="E633:H633" si="121">SUM(E629:E632)</f>
        <v>10</v>
      </c>
      <c r="F633" s="13">
        <f t="shared" si="121"/>
        <v>10</v>
      </c>
      <c r="G633" s="13">
        <f t="shared" si="121"/>
        <v>9</v>
      </c>
      <c r="H633" s="13">
        <f t="shared" si="121"/>
        <v>12</v>
      </c>
      <c r="I633" s="13">
        <v>15</v>
      </c>
      <c r="J633" s="13">
        <v>15</v>
      </c>
      <c r="K633" s="13">
        <v>13</v>
      </c>
      <c r="L633" s="13">
        <v>14</v>
      </c>
      <c r="M633" s="13">
        <v>14</v>
      </c>
      <c r="N633" s="13">
        <v>13</v>
      </c>
      <c r="O633" s="13">
        <f>SUM(O629:O632)</f>
        <v>12</v>
      </c>
      <c r="P633" s="22">
        <f t="shared" si="119"/>
        <v>-1</v>
      </c>
      <c r="Q633" s="15">
        <f t="shared" si="120"/>
        <v>-8.3333333333333329E-2</v>
      </c>
      <c r="R633" s="23"/>
      <c r="T633" s="7"/>
    </row>
    <row r="634" spans="1:20">
      <c r="D634" s="24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22"/>
      <c r="P634" s="15"/>
      <c r="Q634" s="23"/>
      <c r="R634" s="7"/>
    </row>
    <row r="635" spans="1:20">
      <c r="D635" s="23"/>
      <c r="E635" s="13"/>
      <c r="F635" s="13"/>
      <c r="G635" s="13"/>
      <c r="H635" s="13"/>
      <c r="I635" s="13"/>
      <c r="J635" s="13"/>
      <c r="K635" s="23"/>
      <c r="L635" s="23"/>
      <c r="M635" s="23"/>
      <c r="N635" s="23"/>
      <c r="O635" s="22"/>
      <c r="P635" s="15"/>
      <c r="Q635" s="23"/>
      <c r="R635" s="7"/>
    </row>
    <row r="636" spans="1:20" ht="18.75">
      <c r="B636" s="12" t="s">
        <v>51</v>
      </c>
      <c r="D636" s="23"/>
      <c r="E636" s="13"/>
      <c r="F636" s="13"/>
      <c r="G636" s="13"/>
      <c r="H636" s="13"/>
      <c r="I636" s="13"/>
      <c r="J636" s="13"/>
      <c r="K636" s="23"/>
      <c r="L636" s="23"/>
      <c r="M636" s="23"/>
      <c r="N636" s="23"/>
      <c r="O636" s="22"/>
      <c r="P636" s="15"/>
      <c r="Q636" s="23"/>
      <c r="R636" s="7"/>
    </row>
    <row r="637" spans="1:20">
      <c r="D637" s="23"/>
      <c r="E637" s="13"/>
      <c r="F637" s="13"/>
      <c r="G637" s="13"/>
      <c r="H637" s="13"/>
      <c r="I637" s="13"/>
      <c r="J637" s="13"/>
      <c r="K637" s="23"/>
      <c r="L637" s="23"/>
      <c r="M637" s="23"/>
      <c r="N637" s="23"/>
      <c r="O637" s="22"/>
      <c r="P637" s="15"/>
      <c r="Q637" s="23"/>
      <c r="R637" s="7"/>
    </row>
    <row r="638" spans="1:20" ht="18.75">
      <c r="C638" s="16" t="s">
        <v>52</v>
      </c>
      <c r="D638" s="23"/>
      <c r="E638" s="13"/>
      <c r="F638" s="13"/>
      <c r="G638" s="13"/>
      <c r="H638" s="13"/>
      <c r="I638" s="13"/>
      <c r="J638" s="13"/>
      <c r="K638" s="23"/>
      <c r="L638" s="23"/>
      <c r="M638" s="23"/>
      <c r="N638" s="23"/>
      <c r="O638" s="22"/>
      <c r="P638" s="15"/>
      <c r="Q638" s="23"/>
      <c r="R638" s="7"/>
    </row>
    <row r="639" spans="1:20" ht="15.75">
      <c r="C639" s="16"/>
      <c r="D639" s="17" t="s">
        <v>45</v>
      </c>
      <c r="E639" s="19" t="s">
        <v>2</v>
      </c>
      <c r="F639" s="19" t="s">
        <v>3</v>
      </c>
      <c r="G639" s="19" t="s">
        <v>4</v>
      </c>
      <c r="H639" s="19" t="s">
        <v>5</v>
      </c>
      <c r="I639" s="19" t="s">
        <v>46</v>
      </c>
      <c r="J639" s="18" t="s">
        <v>47</v>
      </c>
      <c r="K639" s="18" t="s">
        <v>42</v>
      </c>
      <c r="L639" s="18" t="s">
        <v>43</v>
      </c>
      <c r="M639" s="18" t="s">
        <v>44</v>
      </c>
      <c r="N639" s="18" t="s">
        <v>54</v>
      </c>
      <c r="O639" s="18" t="s">
        <v>55</v>
      </c>
      <c r="P639" s="20" t="s">
        <v>49</v>
      </c>
      <c r="Q639" s="21" t="s">
        <v>50</v>
      </c>
      <c r="R639" s="23"/>
      <c r="T639" s="7"/>
    </row>
    <row r="640" spans="1:20">
      <c r="D640" s="23" t="s">
        <v>8</v>
      </c>
      <c r="E640" s="25">
        <v>8</v>
      </c>
      <c r="F640" s="25">
        <v>10</v>
      </c>
      <c r="G640" s="25">
        <v>9.4</v>
      </c>
      <c r="H640" s="25">
        <v>12</v>
      </c>
      <c r="I640" s="25">
        <v>16</v>
      </c>
      <c r="J640" s="45">
        <v>15</v>
      </c>
      <c r="K640" s="45">
        <v>13</v>
      </c>
      <c r="L640" s="45">
        <v>14</v>
      </c>
      <c r="M640" s="45">
        <v>13</v>
      </c>
      <c r="N640" s="45">
        <v>12</v>
      </c>
      <c r="O640" s="45">
        <v>11</v>
      </c>
      <c r="P640" s="22">
        <f>Table43103163[[#This Row],[10/31/23]]-Table43103163[[#This Row],[10/31/22]]</f>
        <v>-1</v>
      </c>
      <c r="Q640" s="15">
        <f t="shared" ref="Q640:Q644" si="122">IF(O640&lt;&gt;0,P640/O640,"           -")</f>
        <v>-9.0909090909090912E-2</v>
      </c>
      <c r="R640" s="23"/>
      <c r="T640" s="7"/>
    </row>
    <row r="641" spans="3:20">
      <c r="D641" s="23" t="s">
        <v>9</v>
      </c>
      <c r="E641" s="25">
        <v>0</v>
      </c>
      <c r="F641" s="25">
        <f>0</f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2">
        <f>Table43103163[[#This Row],[10/31/23]]-Table43103163[[#This Row],[10/31/22]]</f>
        <v>0</v>
      </c>
      <c r="Q641" s="15" t="str">
        <f t="shared" si="122"/>
        <v xml:space="preserve">           -</v>
      </c>
      <c r="R641" s="23"/>
      <c r="T641" s="7"/>
    </row>
    <row r="642" spans="3:20">
      <c r="D642" s="23" t="s">
        <v>10</v>
      </c>
      <c r="E642" s="25">
        <v>2</v>
      </c>
      <c r="F642" s="25">
        <v>0</v>
      </c>
      <c r="G642" s="25">
        <v>0</v>
      </c>
      <c r="H642" s="25">
        <v>1</v>
      </c>
      <c r="I642" s="25">
        <v>0</v>
      </c>
      <c r="J642" s="45">
        <v>2</v>
      </c>
      <c r="K642" s="45">
        <v>1</v>
      </c>
      <c r="L642" s="45">
        <v>1</v>
      </c>
      <c r="M642" s="45">
        <v>1</v>
      </c>
      <c r="N642" s="45">
        <v>1</v>
      </c>
      <c r="O642" s="45">
        <v>1</v>
      </c>
      <c r="P642" s="22">
        <f>Table43103163[[#This Row],[10/31/23]]-Table43103163[[#This Row],[10/31/22]]</f>
        <v>0</v>
      </c>
      <c r="Q642" s="15">
        <f t="shared" si="122"/>
        <v>0</v>
      </c>
      <c r="R642" s="23"/>
      <c r="T642" s="7"/>
    </row>
    <row r="643" spans="3:20">
      <c r="D643" s="23" t="s">
        <v>11</v>
      </c>
      <c r="E643" s="25">
        <v>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2">
        <f>Table43103163[[#This Row],[10/31/23]]-Table43103163[[#This Row],[10/31/22]]</f>
        <v>0</v>
      </c>
      <c r="Q643" s="15" t="str">
        <f t="shared" si="122"/>
        <v xml:space="preserve">           -</v>
      </c>
      <c r="R643" s="23"/>
      <c r="T643" s="7"/>
    </row>
    <row r="644" spans="3:20">
      <c r="D644" s="23" t="s">
        <v>7</v>
      </c>
      <c r="E644" s="13">
        <f t="shared" ref="E644:H644" si="123">SUM(E640:E643)</f>
        <v>10</v>
      </c>
      <c r="F644" s="13">
        <f t="shared" si="123"/>
        <v>10</v>
      </c>
      <c r="G644" s="13">
        <f t="shared" si="123"/>
        <v>9.4</v>
      </c>
      <c r="H644" s="13">
        <f t="shared" si="123"/>
        <v>13</v>
      </c>
      <c r="I644" s="13">
        <v>16</v>
      </c>
      <c r="J644" s="13">
        <v>17</v>
      </c>
      <c r="K644" s="13">
        <v>14</v>
      </c>
      <c r="L644" s="13">
        <v>15</v>
      </c>
      <c r="M644" s="13">
        <v>14</v>
      </c>
      <c r="N644" s="13">
        <v>13</v>
      </c>
      <c r="O644" s="13">
        <v>12</v>
      </c>
      <c r="P644" s="22">
        <f>Table43103163[[#This Row],[10/31/23]]-Table43103163[[#This Row],[10/31/22]]</f>
        <v>-1</v>
      </c>
      <c r="Q644" s="15">
        <f t="shared" si="122"/>
        <v>-8.3333333333333329E-2</v>
      </c>
      <c r="R644" s="23"/>
      <c r="T644" s="7"/>
    </row>
    <row r="645" spans="3:20">
      <c r="D645" s="23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63"/>
      <c r="P645" s="22"/>
      <c r="Q645" s="15"/>
      <c r="R645" s="7"/>
    </row>
    <row r="646" spans="3:20" ht="18.75">
      <c r="C646" s="16" t="s">
        <v>53</v>
      </c>
      <c r="D646" s="23"/>
      <c r="E646" s="13"/>
      <c r="F646" s="25"/>
      <c r="G646" s="25"/>
      <c r="H646" s="25"/>
      <c r="I646" s="25"/>
      <c r="J646" s="25"/>
      <c r="K646" s="39"/>
      <c r="L646" s="39"/>
      <c r="M646" s="39"/>
      <c r="N646" s="39"/>
      <c r="O646" s="22"/>
      <c r="P646" s="15"/>
      <c r="Q646" s="23"/>
      <c r="R646" s="7"/>
    </row>
    <row r="647" spans="3:20" ht="15.75">
      <c r="C647" s="16"/>
      <c r="D647" s="17" t="s">
        <v>45</v>
      </c>
      <c r="E647" s="19" t="s">
        <v>2</v>
      </c>
      <c r="F647" s="19" t="s">
        <v>3</v>
      </c>
      <c r="G647" s="19" t="s">
        <v>4</v>
      </c>
      <c r="H647" s="19" t="s">
        <v>5</v>
      </c>
      <c r="I647" s="19" t="s">
        <v>46</v>
      </c>
      <c r="J647" s="18" t="s">
        <v>47</v>
      </c>
      <c r="K647" s="18" t="s">
        <v>42</v>
      </c>
      <c r="L647" s="18" t="s">
        <v>43</v>
      </c>
      <c r="M647" s="18" t="s">
        <v>44</v>
      </c>
      <c r="N647" s="18" t="s">
        <v>54</v>
      </c>
      <c r="O647" s="18" t="s">
        <v>55</v>
      </c>
      <c r="P647" s="20" t="s">
        <v>49</v>
      </c>
      <c r="Q647" s="21" t="s">
        <v>50</v>
      </c>
      <c r="R647" s="23"/>
      <c r="T647" s="7"/>
    </row>
    <row r="648" spans="3:20">
      <c r="D648" s="23" t="s">
        <v>8</v>
      </c>
      <c r="E648" s="25">
        <f t="shared" ref="E648:F651" si="124">E656-E640</f>
        <v>0</v>
      </c>
      <c r="F648" s="25">
        <f t="shared" si="124"/>
        <v>0</v>
      </c>
      <c r="G648" s="25">
        <v>0</v>
      </c>
      <c r="H648" s="25">
        <v>0</v>
      </c>
      <c r="I648" s="25">
        <v>0</v>
      </c>
      <c r="J648" s="46">
        <v>0</v>
      </c>
      <c r="K648" s="46">
        <v>0</v>
      </c>
      <c r="L648" s="46">
        <v>0</v>
      </c>
      <c r="M648" s="46">
        <v>0</v>
      </c>
      <c r="N648" s="46">
        <v>0</v>
      </c>
      <c r="O648" s="46">
        <v>0</v>
      </c>
      <c r="P648" s="22">
        <f>Table44104164[[#This Row],[10/31/23]]-Table44104164[[#This Row],[10/31/22]]</f>
        <v>0</v>
      </c>
      <c r="Q648" s="15" t="str">
        <f t="shared" ref="Q648:Q652" si="125">IF(O648&lt;&gt;0,P648/O648,"           -")</f>
        <v xml:space="preserve">           -</v>
      </c>
      <c r="R648" s="23"/>
      <c r="T648" s="7"/>
    </row>
    <row r="649" spans="3:20">
      <c r="D649" s="23" t="s">
        <v>9</v>
      </c>
      <c r="E649" s="25">
        <f t="shared" si="124"/>
        <v>0</v>
      </c>
      <c r="F649" s="25">
        <f t="shared" si="124"/>
        <v>0</v>
      </c>
      <c r="G649" s="25">
        <v>0</v>
      </c>
      <c r="H649" s="25">
        <v>0</v>
      </c>
      <c r="I649" s="25">
        <v>0</v>
      </c>
      <c r="J649" s="46">
        <v>0</v>
      </c>
      <c r="K649" s="46">
        <v>0</v>
      </c>
      <c r="L649" s="46">
        <v>0</v>
      </c>
      <c r="M649" s="46">
        <v>0</v>
      </c>
      <c r="N649" s="46">
        <v>0</v>
      </c>
      <c r="O649" s="46">
        <v>0</v>
      </c>
      <c r="P649" s="22">
        <f>Table44104164[[#This Row],[10/31/23]]-Table44104164[[#This Row],[10/31/22]]</f>
        <v>0</v>
      </c>
      <c r="Q649" s="15" t="str">
        <f t="shared" si="125"/>
        <v xml:space="preserve">           -</v>
      </c>
      <c r="R649" s="23"/>
      <c r="T649" s="7"/>
    </row>
    <row r="650" spans="3:20">
      <c r="D650" s="23" t="s">
        <v>10</v>
      </c>
      <c r="E650" s="25">
        <f t="shared" si="124"/>
        <v>0</v>
      </c>
      <c r="F650" s="25">
        <f t="shared" si="124"/>
        <v>0</v>
      </c>
      <c r="G650" s="25">
        <v>0</v>
      </c>
      <c r="H650" s="25">
        <v>0</v>
      </c>
      <c r="I650" s="25">
        <v>0</v>
      </c>
      <c r="J650" s="46">
        <v>0</v>
      </c>
      <c r="K650" s="46">
        <v>0</v>
      </c>
      <c r="L650" s="46">
        <v>0</v>
      </c>
      <c r="M650" s="46">
        <v>0</v>
      </c>
      <c r="N650" s="46">
        <v>0</v>
      </c>
      <c r="O650" s="46">
        <v>0</v>
      </c>
      <c r="P650" s="22">
        <f>Table44104164[[#This Row],[10/31/23]]-Table44104164[[#This Row],[10/31/22]]</f>
        <v>0</v>
      </c>
      <c r="Q650" s="15" t="str">
        <f t="shared" si="125"/>
        <v xml:space="preserve">           -</v>
      </c>
      <c r="R650" s="23"/>
      <c r="T650" s="7"/>
    </row>
    <row r="651" spans="3:20">
      <c r="D651" s="23" t="s">
        <v>11</v>
      </c>
      <c r="E651" s="25">
        <f t="shared" si="124"/>
        <v>0</v>
      </c>
      <c r="F651" s="25">
        <f t="shared" si="124"/>
        <v>0</v>
      </c>
      <c r="G651" s="25">
        <v>0</v>
      </c>
      <c r="H651" s="25">
        <v>0</v>
      </c>
      <c r="I651" s="25">
        <v>0</v>
      </c>
      <c r="J651" s="46">
        <v>0</v>
      </c>
      <c r="K651" s="46">
        <v>0</v>
      </c>
      <c r="L651" s="46">
        <v>0</v>
      </c>
      <c r="M651" s="46">
        <v>0</v>
      </c>
      <c r="N651" s="46">
        <v>0</v>
      </c>
      <c r="O651" s="46">
        <v>0</v>
      </c>
      <c r="P651" s="22">
        <f>Table44104164[[#This Row],[10/31/23]]-Table44104164[[#This Row],[10/31/22]]</f>
        <v>0</v>
      </c>
      <c r="Q651" s="15" t="str">
        <f t="shared" si="125"/>
        <v xml:space="preserve">           -</v>
      </c>
      <c r="R651" s="23"/>
      <c r="T651" s="7"/>
    </row>
    <row r="652" spans="3:20">
      <c r="D652" s="23" t="s">
        <v>7</v>
      </c>
      <c r="E652" s="25">
        <f>SUM(E648:E651)</f>
        <v>0</v>
      </c>
      <c r="F652" s="25">
        <f>SUM(F648:F651)</f>
        <v>0</v>
      </c>
      <c r="G652" s="25">
        <f>SUM(G648:G651)</f>
        <v>0</v>
      </c>
      <c r="H652" s="25">
        <f>SUM(H648:H651)</f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2">
        <f>Table44104164[[#This Row],[10/31/23]]-Table44104164[[#This Row],[10/31/22]]</f>
        <v>0</v>
      </c>
      <c r="Q652" s="15" t="str">
        <f t="shared" si="125"/>
        <v xml:space="preserve">           -</v>
      </c>
      <c r="R652" s="23"/>
      <c r="T652" s="7"/>
    </row>
    <row r="653" spans="3:20">
      <c r="D653" s="23"/>
      <c r="E653" s="13"/>
      <c r="F653" s="25"/>
      <c r="G653" s="25"/>
      <c r="H653" s="25"/>
      <c r="I653" s="25"/>
      <c r="J653" s="25"/>
      <c r="K653" s="23"/>
      <c r="L653" s="23"/>
      <c r="M653" s="23"/>
      <c r="N653" s="23"/>
      <c r="O653" s="22"/>
      <c r="P653" s="15"/>
      <c r="Q653" s="23"/>
      <c r="R653" s="7"/>
    </row>
    <row r="654" spans="3:20" ht="15.75">
      <c r="C654" s="16" t="s">
        <v>17</v>
      </c>
      <c r="D654" s="23"/>
      <c r="E654" s="13"/>
      <c r="F654" s="25"/>
      <c r="G654" s="25"/>
      <c r="H654" s="25"/>
      <c r="I654" s="25"/>
      <c r="J654" s="25"/>
      <c r="K654" s="23"/>
      <c r="L654" s="23"/>
      <c r="M654" s="23"/>
      <c r="N654" s="23"/>
      <c r="O654" s="22"/>
      <c r="P654" s="15"/>
      <c r="Q654" s="23"/>
      <c r="R654" s="7"/>
    </row>
    <row r="655" spans="3:20" ht="15.75">
      <c r="C655" s="16"/>
      <c r="D655" s="17" t="s">
        <v>45</v>
      </c>
      <c r="E655" s="19" t="s">
        <v>2</v>
      </c>
      <c r="F655" s="19" t="s">
        <v>3</v>
      </c>
      <c r="G655" s="19" t="s">
        <v>4</v>
      </c>
      <c r="H655" s="19" t="s">
        <v>5</v>
      </c>
      <c r="I655" s="19" t="s">
        <v>46</v>
      </c>
      <c r="J655" s="18" t="s">
        <v>47</v>
      </c>
      <c r="K655" s="18" t="s">
        <v>42</v>
      </c>
      <c r="L655" s="18" t="s">
        <v>43</v>
      </c>
      <c r="M655" s="18" t="s">
        <v>44</v>
      </c>
      <c r="N655" s="18" t="s">
        <v>54</v>
      </c>
      <c r="O655" s="18" t="s">
        <v>55</v>
      </c>
      <c r="P655" s="20" t="s">
        <v>49</v>
      </c>
      <c r="Q655" s="21" t="s">
        <v>50</v>
      </c>
      <c r="R655" s="23"/>
      <c r="T655" s="7"/>
    </row>
    <row r="656" spans="3:20">
      <c r="D656" s="23" t="s">
        <v>8</v>
      </c>
      <c r="E656" s="25">
        <v>8</v>
      </c>
      <c r="F656" s="25">
        <v>10</v>
      </c>
      <c r="G656" s="25">
        <f>G640+G648</f>
        <v>9.4</v>
      </c>
      <c r="H656" s="25">
        <f>H648+H640</f>
        <v>12</v>
      </c>
      <c r="I656" s="25">
        <v>16</v>
      </c>
      <c r="J656" s="25">
        <v>15</v>
      </c>
      <c r="K656" s="25">
        <v>13</v>
      </c>
      <c r="L656" s="25">
        <v>14</v>
      </c>
      <c r="M656" s="25">
        <v>13</v>
      </c>
      <c r="N656" s="25">
        <v>12</v>
      </c>
      <c r="O656" s="25">
        <v>11</v>
      </c>
      <c r="P656" s="22">
        <f>Table45105165[[#This Row],[10/31/23]]-Table45105165[[#This Row],[10/31/22]]</f>
        <v>-1</v>
      </c>
      <c r="Q656" s="15">
        <f t="shared" ref="Q656:Q660" si="126">IF(O656&lt;&gt;0,P656/O656,"           -")</f>
        <v>-9.0909090909090912E-2</v>
      </c>
      <c r="R656" s="23"/>
      <c r="T656" s="7"/>
    </row>
    <row r="657" spans="2:20">
      <c r="D657" s="23" t="s">
        <v>9</v>
      </c>
      <c r="E657" s="25">
        <f>0</f>
        <v>0</v>
      </c>
      <c r="F657" s="25">
        <f>0</f>
        <v>0</v>
      </c>
      <c r="G657" s="25">
        <f>G641+G649</f>
        <v>0</v>
      </c>
      <c r="H657" s="25">
        <f>H649+H641</f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2">
        <f>Table45105165[[#This Row],[10/31/23]]-Table45105165[[#This Row],[10/31/22]]</f>
        <v>0</v>
      </c>
      <c r="Q657" s="15" t="str">
        <f t="shared" si="126"/>
        <v xml:space="preserve">           -</v>
      </c>
      <c r="S657" s="10"/>
      <c r="T657" s="7"/>
    </row>
    <row r="658" spans="2:20">
      <c r="D658" s="23" t="s">
        <v>10</v>
      </c>
      <c r="E658" s="25">
        <v>2</v>
      </c>
      <c r="F658" s="25">
        <v>0</v>
      </c>
      <c r="G658" s="25">
        <f>G642+G650</f>
        <v>0</v>
      </c>
      <c r="H658" s="25">
        <f>H650+H642</f>
        <v>1</v>
      </c>
      <c r="I658" s="25">
        <v>0</v>
      </c>
      <c r="J658" s="25">
        <v>2</v>
      </c>
      <c r="K658" s="25">
        <v>1</v>
      </c>
      <c r="L658" s="25">
        <v>1</v>
      </c>
      <c r="M658" s="25">
        <v>1</v>
      </c>
      <c r="N658" s="25">
        <v>1</v>
      </c>
      <c r="O658" s="25">
        <v>1</v>
      </c>
      <c r="P658" s="22">
        <f>Table45105165[[#This Row],[10/31/23]]-Table45105165[[#This Row],[10/31/22]]</f>
        <v>0</v>
      </c>
      <c r="Q658" s="15">
        <f t="shared" si="126"/>
        <v>0</v>
      </c>
      <c r="S658" s="10"/>
      <c r="T658" s="7"/>
    </row>
    <row r="659" spans="2:20">
      <c r="D659" s="23" t="s">
        <v>11</v>
      </c>
      <c r="E659" s="25">
        <v>0</v>
      </c>
      <c r="F659" s="25">
        <v>0</v>
      </c>
      <c r="G659" s="25">
        <f>G643+G651</f>
        <v>0</v>
      </c>
      <c r="H659" s="25">
        <f>H651+H643</f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2">
        <f>Table45105165[[#This Row],[10/31/23]]-Table45105165[[#This Row],[10/31/22]]</f>
        <v>0</v>
      </c>
      <c r="Q659" s="15" t="str">
        <f t="shared" si="126"/>
        <v xml:space="preserve">           -</v>
      </c>
      <c r="S659" s="10"/>
      <c r="T659" s="7"/>
    </row>
    <row r="660" spans="2:20">
      <c r="D660" s="23" t="s">
        <v>7</v>
      </c>
      <c r="E660" s="13">
        <f t="shared" ref="E660:H660" si="127">SUM(E656:E659)</f>
        <v>10</v>
      </c>
      <c r="F660" s="13">
        <f t="shared" si="127"/>
        <v>10</v>
      </c>
      <c r="G660" s="13">
        <f t="shared" si="127"/>
        <v>9.4</v>
      </c>
      <c r="H660" s="13">
        <f t="shared" si="127"/>
        <v>13</v>
      </c>
      <c r="I660" s="13">
        <v>16</v>
      </c>
      <c r="J660" s="13">
        <v>17</v>
      </c>
      <c r="K660" s="13">
        <v>14</v>
      </c>
      <c r="L660" s="13">
        <v>15</v>
      </c>
      <c r="M660" s="13">
        <v>14</v>
      </c>
      <c r="N660" s="13">
        <v>13</v>
      </c>
      <c r="O660" s="13">
        <v>12</v>
      </c>
      <c r="P660" s="22">
        <f>Table45105165[[#This Row],[10/31/23]]-Table45105165[[#This Row],[10/31/22]]</f>
        <v>-1</v>
      </c>
      <c r="Q660" s="15">
        <f t="shared" si="126"/>
        <v>-8.3333333333333329E-2</v>
      </c>
      <c r="S660" s="10"/>
      <c r="T660" s="7"/>
    </row>
    <row r="661" spans="2:20">
      <c r="D661" s="23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2"/>
      <c r="Q661" s="15"/>
    </row>
    <row r="662" spans="2:20">
      <c r="B662" s="7" t="str">
        <f>"_________________________"</f>
        <v>_________________________</v>
      </c>
    </row>
    <row r="663" spans="2:20" ht="18">
      <c r="C663" s="67">
        <v>1</v>
      </c>
      <c r="D663" s="7" t="s">
        <v>18</v>
      </c>
    </row>
    <row r="664" spans="2:20" ht="18">
      <c r="C664" s="67">
        <v>2</v>
      </c>
      <c r="D664" s="7" t="s">
        <v>19</v>
      </c>
    </row>
    <row r="665" spans="2:20" ht="18">
      <c r="C665" s="67"/>
      <c r="D665" s="7" t="s">
        <v>20</v>
      </c>
    </row>
    <row r="666" spans="2:20" ht="18">
      <c r="C666" s="67">
        <v>3</v>
      </c>
      <c r="D666" s="7" t="s">
        <v>21</v>
      </c>
    </row>
    <row r="667" spans="2:20">
      <c r="D667" s="7" t="s">
        <v>22</v>
      </c>
    </row>
    <row r="668" spans="2:20">
      <c r="D668" s="7" t="s">
        <v>23</v>
      </c>
    </row>
    <row r="669" spans="2:20" ht="18">
      <c r="C669" s="67">
        <v>4</v>
      </c>
      <c r="D669" s="7" t="s">
        <v>24</v>
      </c>
    </row>
    <row r="670" spans="2:20" ht="18">
      <c r="C670" s="67"/>
    </row>
    <row r="671" spans="2:20" ht="18">
      <c r="C671" s="67"/>
    </row>
    <row r="672" spans="2:20" ht="18">
      <c r="C672" s="67"/>
    </row>
    <row r="673" spans="2:20" ht="18">
      <c r="C673" s="67"/>
    </row>
    <row r="674" spans="2:20" ht="18">
      <c r="C674" s="67"/>
    </row>
    <row r="675" spans="2:20">
      <c r="B675" s="7" t="s">
        <v>25</v>
      </c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</row>
    <row r="676" spans="2:20">
      <c r="B676" s="7" t="str">
        <f>B75</f>
        <v>November 13, 2023</v>
      </c>
    </row>
    <row r="677" spans="2:20" ht="15.75">
      <c r="Q677" s="8"/>
      <c r="R677" s="8"/>
    </row>
    <row r="678" spans="2:20" ht="15.75">
      <c r="Q678" s="8"/>
      <c r="R678" s="8"/>
    </row>
    <row r="679" spans="2:20"/>
    <row r="680" spans="2:20"/>
    <row r="681" spans="2:20" ht="15.75">
      <c r="C681" s="8"/>
      <c r="D681" s="8"/>
      <c r="E681" s="8"/>
      <c r="F681" s="8"/>
      <c r="G681" s="8"/>
      <c r="H681" s="8"/>
      <c r="I681" s="40"/>
      <c r="J681" s="9" t="s">
        <v>26</v>
      </c>
      <c r="K681" s="8"/>
      <c r="L681" s="8"/>
      <c r="M681" s="8"/>
      <c r="N681" s="8"/>
      <c r="O681" s="8"/>
      <c r="P681" s="8"/>
      <c r="Q681" s="7"/>
      <c r="R681" s="7"/>
    </row>
    <row r="682" spans="2:20" ht="15.75">
      <c r="C682" s="8"/>
      <c r="D682" s="8"/>
      <c r="E682" s="8"/>
      <c r="F682" s="8"/>
      <c r="G682" s="8"/>
      <c r="H682" s="8"/>
      <c r="I682" s="40"/>
      <c r="J682" s="9" t="s">
        <v>36</v>
      </c>
      <c r="K682" s="8"/>
      <c r="L682" s="8"/>
      <c r="M682" s="8"/>
      <c r="N682" s="8"/>
      <c r="O682" s="8"/>
      <c r="P682" s="8"/>
      <c r="Q682" s="7"/>
      <c r="R682" s="7"/>
    </row>
    <row r="683" spans="2:20">
      <c r="O683" s="14"/>
      <c r="P683" s="14"/>
      <c r="Q683" s="7"/>
      <c r="R683" s="7"/>
    </row>
    <row r="684" spans="2:20">
      <c r="M684" s="11"/>
      <c r="O684" s="14"/>
      <c r="P684" s="14"/>
      <c r="Q684" s="7"/>
      <c r="R684" s="7"/>
    </row>
    <row r="685" spans="2:20" ht="18.75">
      <c r="B685" s="12" t="s">
        <v>48</v>
      </c>
      <c r="E685" s="13"/>
      <c r="H685" s="13"/>
      <c r="I685" s="13"/>
      <c r="J685" s="13"/>
      <c r="K685" s="7"/>
      <c r="L685" s="7"/>
      <c r="M685" s="7"/>
      <c r="N685" s="7"/>
      <c r="O685" s="14"/>
      <c r="P685" s="15"/>
      <c r="Q685" s="7"/>
      <c r="R685" s="7"/>
    </row>
    <row r="686" spans="2:20">
      <c r="E686" s="13"/>
      <c r="H686" s="13"/>
      <c r="I686" s="13"/>
      <c r="J686" s="13"/>
      <c r="K686" s="7"/>
      <c r="L686" s="7"/>
      <c r="M686" s="7"/>
      <c r="N686" s="7"/>
      <c r="O686" s="14"/>
      <c r="P686" s="15"/>
      <c r="Q686" s="7"/>
      <c r="R686" s="7"/>
    </row>
    <row r="687" spans="2:20" ht="15.75">
      <c r="C687" s="16" t="s">
        <v>6</v>
      </c>
      <c r="E687" s="13"/>
      <c r="H687" s="13"/>
      <c r="I687" s="13"/>
      <c r="J687" s="13"/>
      <c r="K687" s="7"/>
      <c r="L687" s="7"/>
      <c r="M687" s="7"/>
      <c r="N687" s="7"/>
      <c r="O687" s="14"/>
      <c r="P687" s="15"/>
      <c r="Q687" s="7"/>
      <c r="R687" s="7"/>
    </row>
    <row r="688" spans="2:20" ht="15.75">
      <c r="C688" s="16"/>
      <c r="D688" s="17" t="s">
        <v>45</v>
      </c>
      <c r="E688" s="19" t="s">
        <v>2</v>
      </c>
      <c r="F688" s="19" t="s">
        <v>3</v>
      </c>
      <c r="G688" s="19" t="s">
        <v>4</v>
      </c>
      <c r="H688" s="19" t="s">
        <v>5</v>
      </c>
      <c r="I688" s="19" t="s">
        <v>46</v>
      </c>
      <c r="J688" s="18" t="s">
        <v>47</v>
      </c>
      <c r="K688" s="18" t="s">
        <v>42</v>
      </c>
      <c r="L688" s="18" t="s">
        <v>43</v>
      </c>
      <c r="M688" s="18" t="s">
        <v>44</v>
      </c>
      <c r="N688" s="18" t="s">
        <v>54</v>
      </c>
      <c r="O688" s="18" t="s">
        <v>55</v>
      </c>
      <c r="P688" s="20" t="s">
        <v>49</v>
      </c>
      <c r="Q688" s="21" t="s">
        <v>50</v>
      </c>
      <c r="R688" s="7"/>
      <c r="T688" s="7"/>
    </row>
    <row r="689" spans="3:20">
      <c r="D689" s="23" t="s">
        <v>7</v>
      </c>
      <c r="E689" s="13">
        <f>E764 - E614</f>
        <v>281</v>
      </c>
      <c r="F689" s="13">
        <v>275</v>
      </c>
      <c r="G689" s="13">
        <v>342</v>
      </c>
      <c r="H689" s="13">
        <v>372</v>
      </c>
      <c r="I689" s="13">
        <v>387</v>
      </c>
      <c r="J689" s="13">
        <v>389</v>
      </c>
      <c r="K689" s="13">
        <v>394</v>
      </c>
      <c r="L689" s="13">
        <v>393</v>
      </c>
      <c r="M689" s="13">
        <v>386</v>
      </c>
      <c r="N689" s="13">
        <v>386</v>
      </c>
      <c r="O689" s="13">
        <v>398</v>
      </c>
      <c r="P689" s="22">
        <f>Table46106166[[#This Row],[10/31/23]]-Table46106166[[#This Row],[10/31/22]]</f>
        <v>12</v>
      </c>
      <c r="Q689" s="15">
        <f>IF(O689&lt;&gt;0,P689/O689,"           -")</f>
        <v>3.015075376884422E-2</v>
      </c>
      <c r="R689" s="7"/>
      <c r="T689" s="7"/>
    </row>
    <row r="690" spans="3:20">
      <c r="D690" s="23"/>
      <c r="E690" s="13"/>
      <c r="F690" s="13"/>
      <c r="G690" s="13"/>
      <c r="H690" s="13"/>
      <c r="I690" s="13"/>
      <c r="J690" s="23"/>
      <c r="K690" s="23"/>
      <c r="L690" s="23"/>
      <c r="M690" s="23"/>
      <c r="N690" s="23"/>
      <c r="O690" s="23"/>
      <c r="P690" s="22"/>
      <c r="Q690" s="15"/>
      <c r="R690" s="7"/>
      <c r="T690" s="7"/>
    </row>
    <row r="691" spans="3:20">
      <c r="D691" s="23" t="s">
        <v>8</v>
      </c>
      <c r="E691" s="13">
        <f>E766 - E616</f>
        <v>4</v>
      </c>
      <c r="F691" s="13">
        <v>4</v>
      </c>
      <c r="G691" s="13">
        <v>18</v>
      </c>
      <c r="H691" s="13">
        <v>15</v>
      </c>
      <c r="I691" s="13">
        <v>13</v>
      </c>
      <c r="J691" s="23">
        <v>15</v>
      </c>
      <c r="K691" s="23">
        <v>16</v>
      </c>
      <c r="L691" s="23">
        <v>14</v>
      </c>
      <c r="M691" s="23">
        <v>14</v>
      </c>
      <c r="N691" s="23">
        <v>12</v>
      </c>
      <c r="O691" s="23">
        <v>15</v>
      </c>
      <c r="P691" s="22">
        <f>Table46106166[[#This Row],[10/31/23]]-Table46106166[[#This Row],[10/31/22]]</f>
        <v>3</v>
      </c>
      <c r="Q691" s="15">
        <f t="shared" ref="Q691:Q700" si="128">IF(O691&lt;&gt;0,P691/O691,"           -")</f>
        <v>0.2</v>
      </c>
      <c r="R691" s="7"/>
      <c r="T691" s="7"/>
    </row>
    <row r="692" spans="3:20">
      <c r="D692" s="23" t="s">
        <v>9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23">
        <v>0</v>
      </c>
      <c r="K692" s="23">
        <v>1</v>
      </c>
      <c r="L692" s="23">
        <v>0</v>
      </c>
      <c r="M692" s="23">
        <v>0</v>
      </c>
      <c r="N692" s="23">
        <v>0</v>
      </c>
      <c r="O692" s="23">
        <v>0</v>
      </c>
      <c r="P692" s="22">
        <f>Table46106166[[#This Row],[10/31/23]]-Table46106166[[#This Row],[10/31/22]]</f>
        <v>0</v>
      </c>
      <c r="Q692" s="15" t="str">
        <f t="shared" si="128"/>
        <v xml:space="preserve">           -</v>
      </c>
      <c r="R692" s="7"/>
      <c r="T692" s="7"/>
    </row>
    <row r="693" spans="3:20">
      <c r="D693" s="23" t="s">
        <v>10</v>
      </c>
      <c r="E693" s="13">
        <f>E768 - E618</f>
        <v>209</v>
      </c>
      <c r="F693" s="13">
        <f>145 + 62</f>
        <v>207</v>
      </c>
      <c r="G693" s="13">
        <f>145+101</f>
        <v>246</v>
      </c>
      <c r="H693" s="13">
        <f>174+95</f>
        <v>269</v>
      </c>
      <c r="I693" s="13">
        <v>281</v>
      </c>
      <c r="J693" s="23">
        <v>284</v>
      </c>
      <c r="K693" s="23">
        <v>290</v>
      </c>
      <c r="L693" s="23">
        <v>297</v>
      </c>
      <c r="M693" s="23">
        <v>302</v>
      </c>
      <c r="N693" s="23">
        <v>302</v>
      </c>
      <c r="O693" s="23">
        <v>315</v>
      </c>
      <c r="P693" s="22">
        <f>Table46106166[[#This Row],[10/31/23]]-Table46106166[[#This Row],[10/31/22]]</f>
        <v>13</v>
      </c>
      <c r="Q693" s="15">
        <f t="shared" si="128"/>
        <v>4.1269841269841269E-2</v>
      </c>
      <c r="R693" s="7"/>
      <c r="T693" s="7"/>
    </row>
    <row r="694" spans="3:20">
      <c r="D694" s="23" t="s">
        <v>11</v>
      </c>
      <c r="E694" s="13">
        <f>68</f>
        <v>68</v>
      </c>
      <c r="F694" s="13">
        <f>64</f>
        <v>64</v>
      </c>
      <c r="G694" s="13">
        <v>78</v>
      </c>
      <c r="H694" s="13">
        <v>88</v>
      </c>
      <c r="I694" s="13">
        <v>93</v>
      </c>
      <c r="J694" s="23">
        <v>90</v>
      </c>
      <c r="K694" s="23">
        <v>87</v>
      </c>
      <c r="L694" s="23">
        <v>82</v>
      </c>
      <c r="M694" s="23">
        <v>70</v>
      </c>
      <c r="N694" s="23">
        <v>72</v>
      </c>
      <c r="O694" s="23">
        <v>68</v>
      </c>
      <c r="P694" s="22">
        <f>Table46106166[[#This Row],[10/31/23]]-Table46106166[[#This Row],[10/31/22]]</f>
        <v>-4</v>
      </c>
      <c r="Q694" s="15">
        <f t="shared" si="128"/>
        <v>-5.8823529411764705E-2</v>
      </c>
      <c r="R694" s="7"/>
      <c r="T694" s="7"/>
    </row>
    <row r="695" spans="3:20">
      <c r="D695" s="23"/>
      <c r="E695" s="13"/>
      <c r="F695" s="13"/>
      <c r="G695" s="13"/>
      <c r="H695" s="13"/>
      <c r="I695" s="13"/>
      <c r="J695" s="23"/>
      <c r="K695" s="23"/>
      <c r="L695" s="23"/>
      <c r="M695" s="23"/>
      <c r="N695" s="23"/>
      <c r="O695" s="23"/>
      <c r="P695" s="22"/>
      <c r="Q695" s="15"/>
      <c r="R695" s="7"/>
      <c r="T695" s="7"/>
    </row>
    <row r="696" spans="3:20">
      <c r="D696" s="23" t="s">
        <v>12</v>
      </c>
      <c r="E696" s="13">
        <f>E771 - E621</f>
        <v>273</v>
      </c>
      <c r="F696" s="13">
        <f>F771 - F621</f>
        <v>267</v>
      </c>
      <c r="G696" s="13">
        <v>331</v>
      </c>
      <c r="H696" s="13">
        <v>360</v>
      </c>
      <c r="I696" s="13">
        <v>378</v>
      </c>
      <c r="J696" s="77">
        <v>380</v>
      </c>
      <c r="K696" s="77">
        <v>383</v>
      </c>
      <c r="L696" s="77">
        <v>384</v>
      </c>
      <c r="M696" s="77">
        <v>378</v>
      </c>
      <c r="N696" s="77">
        <v>380</v>
      </c>
      <c r="O696" s="77">
        <v>392</v>
      </c>
      <c r="P696" s="22">
        <f>Table46106166[[#This Row],[10/31/23]]-Table46106166[[#This Row],[10/31/22]]</f>
        <v>12</v>
      </c>
      <c r="Q696" s="15">
        <f t="shared" si="128"/>
        <v>3.0612244897959183E-2</v>
      </c>
      <c r="R696" s="7"/>
      <c r="T696" s="7"/>
    </row>
    <row r="697" spans="3:20">
      <c r="D697" s="23" t="s">
        <v>13</v>
      </c>
      <c r="E697" s="13">
        <f>8</f>
        <v>8</v>
      </c>
      <c r="F697" s="13">
        <f>8</f>
        <v>8</v>
      </c>
      <c r="G697" s="13">
        <v>11</v>
      </c>
      <c r="H697" s="13">
        <v>12</v>
      </c>
      <c r="I697" s="13">
        <v>9</v>
      </c>
      <c r="J697" s="23">
        <v>9</v>
      </c>
      <c r="K697" s="23">
        <v>11</v>
      </c>
      <c r="L697" s="23">
        <v>9</v>
      </c>
      <c r="M697" s="23">
        <v>8</v>
      </c>
      <c r="N697" s="23">
        <v>6</v>
      </c>
      <c r="O697" s="23">
        <v>6</v>
      </c>
      <c r="P697" s="22">
        <f>Table46106166[[#This Row],[10/31/23]]-Table46106166[[#This Row],[10/31/22]]</f>
        <v>0</v>
      </c>
      <c r="Q697" s="15">
        <f t="shared" si="128"/>
        <v>0</v>
      </c>
      <c r="R697" s="7"/>
      <c r="T697" s="7"/>
    </row>
    <row r="698" spans="3:20">
      <c r="D698" s="23"/>
      <c r="E698" s="13"/>
      <c r="F698" s="13"/>
      <c r="G698" s="13"/>
      <c r="H698" s="13"/>
      <c r="I698" s="13"/>
      <c r="J698" s="23"/>
      <c r="K698" s="23"/>
      <c r="L698" s="23"/>
      <c r="M698" s="23"/>
      <c r="N698" s="23"/>
      <c r="O698" s="23"/>
      <c r="P698" s="22"/>
      <c r="Q698" s="15"/>
      <c r="R698" s="7"/>
      <c r="T698" s="7"/>
    </row>
    <row r="699" spans="3:20">
      <c r="D699" s="23" t="s">
        <v>14</v>
      </c>
      <c r="E699" s="13">
        <f>E774 - E624</f>
        <v>281</v>
      </c>
      <c r="F699" s="13">
        <f>F774 - F624</f>
        <v>275</v>
      </c>
      <c r="G699" s="13">
        <v>342</v>
      </c>
      <c r="H699" s="13">
        <v>372</v>
      </c>
      <c r="I699" s="13">
        <v>387</v>
      </c>
      <c r="J699" s="77">
        <v>389</v>
      </c>
      <c r="K699" s="77">
        <v>394</v>
      </c>
      <c r="L699" s="77">
        <v>393</v>
      </c>
      <c r="M699" s="77">
        <v>386</v>
      </c>
      <c r="N699" s="77">
        <v>386</v>
      </c>
      <c r="O699" s="77">
        <v>398</v>
      </c>
      <c r="P699" s="22">
        <f>Table46106166[[#This Row],[10/31/23]]-Table46106166[[#This Row],[10/31/22]]</f>
        <v>12</v>
      </c>
      <c r="Q699" s="15">
        <f t="shared" si="128"/>
        <v>3.015075376884422E-2</v>
      </c>
      <c r="R699" s="7"/>
      <c r="T699" s="7"/>
    </row>
    <row r="700" spans="3:20">
      <c r="D700" s="23" t="s">
        <v>15</v>
      </c>
      <c r="E700" s="13">
        <f>0</f>
        <v>0</v>
      </c>
      <c r="F700" s="13">
        <f>0</f>
        <v>0</v>
      </c>
      <c r="G700" s="13">
        <v>0</v>
      </c>
      <c r="H700" s="13">
        <v>0</v>
      </c>
      <c r="I700" s="13">
        <v>0</v>
      </c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3">
        <v>0</v>
      </c>
      <c r="P700" s="22">
        <f>Table46106166[[#This Row],[10/31/23]]-Table46106166[[#This Row],[10/31/22]]</f>
        <v>0</v>
      </c>
      <c r="Q700" s="15" t="str">
        <f t="shared" si="128"/>
        <v xml:space="preserve">           -</v>
      </c>
      <c r="R700" s="7"/>
      <c r="T700" s="7"/>
    </row>
    <row r="701" spans="3:20">
      <c r="D701" s="23"/>
      <c r="E701" s="13"/>
      <c r="F701" s="13"/>
      <c r="G701" s="13"/>
      <c r="H701" s="13"/>
      <c r="I701" s="13"/>
      <c r="J701" s="13"/>
      <c r="K701" s="23"/>
      <c r="L701" s="23"/>
      <c r="M701" s="23"/>
      <c r="N701" s="23"/>
      <c r="O701" s="22"/>
      <c r="P701" s="15"/>
      <c r="Q701" s="7"/>
      <c r="R701" s="7"/>
    </row>
    <row r="702" spans="3:20" ht="15.75">
      <c r="C702" s="16" t="s">
        <v>16</v>
      </c>
      <c r="D702" s="23"/>
      <c r="E702" s="13"/>
      <c r="F702" s="13"/>
      <c r="G702" s="13"/>
      <c r="H702" s="13"/>
      <c r="I702" s="13"/>
      <c r="J702" s="13"/>
      <c r="K702" s="23"/>
      <c r="L702" s="23"/>
      <c r="M702" s="23"/>
      <c r="N702" s="23"/>
      <c r="O702" s="22"/>
      <c r="P702" s="15"/>
      <c r="Q702" s="7"/>
      <c r="R702" s="7"/>
    </row>
    <row r="703" spans="3:20" ht="15.75">
      <c r="C703" s="16"/>
      <c r="D703" s="17" t="s">
        <v>45</v>
      </c>
      <c r="E703" s="19" t="s">
        <v>2</v>
      </c>
      <c r="F703" s="19" t="s">
        <v>3</v>
      </c>
      <c r="G703" s="19" t="s">
        <v>4</v>
      </c>
      <c r="H703" s="19" t="s">
        <v>5</v>
      </c>
      <c r="I703" s="19" t="s">
        <v>46</v>
      </c>
      <c r="J703" s="18" t="s">
        <v>47</v>
      </c>
      <c r="K703" s="18" t="s">
        <v>42</v>
      </c>
      <c r="L703" s="18" t="s">
        <v>43</v>
      </c>
      <c r="M703" s="18" t="s">
        <v>44</v>
      </c>
      <c r="N703" s="18" t="s">
        <v>54</v>
      </c>
      <c r="O703" s="18" t="s">
        <v>55</v>
      </c>
      <c r="P703" s="20" t="s">
        <v>49</v>
      </c>
      <c r="Q703" s="21" t="s">
        <v>50</v>
      </c>
      <c r="R703" s="7"/>
      <c r="T703" s="7"/>
    </row>
    <row r="704" spans="3:20">
      <c r="D704" s="24" t="s">
        <v>8</v>
      </c>
      <c r="E704" s="13">
        <f>E779 - E629</f>
        <v>3</v>
      </c>
      <c r="F704" s="13">
        <v>4</v>
      </c>
      <c r="G704" s="13">
        <v>16</v>
      </c>
      <c r="H704" s="13">
        <v>14</v>
      </c>
      <c r="I704" s="13">
        <v>13</v>
      </c>
      <c r="J704" s="23">
        <v>15</v>
      </c>
      <c r="K704" s="23">
        <v>16</v>
      </c>
      <c r="L704" s="23">
        <v>14</v>
      </c>
      <c r="M704" s="23">
        <v>14</v>
      </c>
      <c r="N704" s="23">
        <v>12</v>
      </c>
      <c r="O704" s="23">
        <v>15</v>
      </c>
      <c r="P704" s="22">
        <f>Table47107167[[#This Row],[10/31/23]]-Table47107167[[#This Row],[10/31/22]]</f>
        <v>3</v>
      </c>
      <c r="Q704" s="15">
        <f t="shared" ref="Q704:Q708" si="129">IF(O704&lt;&gt;0,P704/O704,"           -")</f>
        <v>0.2</v>
      </c>
      <c r="R704" s="23"/>
      <c r="T704" s="7"/>
    </row>
    <row r="705" spans="1:20">
      <c r="D705" s="24" t="s">
        <v>9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23">
        <v>0</v>
      </c>
      <c r="K705" s="23">
        <v>0</v>
      </c>
      <c r="L705" s="23">
        <v>0</v>
      </c>
      <c r="M705" s="23">
        <v>0</v>
      </c>
      <c r="N705" s="23">
        <v>0</v>
      </c>
      <c r="O705" s="23">
        <v>0</v>
      </c>
      <c r="P705" s="22">
        <f>Table47107167[[#This Row],[10/31/23]]-Table47107167[[#This Row],[10/31/22]]</f>
        <v>0</v>
      </c>
      <c r="Q705" s="15" t="str">
        <f t="shared" si="129"/>
        <v xml:space="preserve">           -</v>
      </c>
      <c r="R705" s="23"/>
      <c r="T705" s="7"/>
    </row>
    <row r="706" spans="1:20">
      <c r="D706" s="24" t="s">
        <v>10</v>
      </c>
      <c r="E706" s="13">
        <f>E781 - E631</f>
        <v>204</v>
      </c>
      <c r="F706" s="13">
        <v>202</v>
      </c>
      <c r="G706" s="13">
        <f>143+96</f>
        <v>239</v>
      </c>
      <c r="H706" s="13">
        <f>173+91</f>
        <v>264</v>
      </c>
      <c r="I706" s="13">
        <v>274</v>
      </c>
      <c r="J706" s="23">
        <v>279</v>
      </c>
      <c r="K706" s="23">
        <v>285</v>
      </c>
      <c r="L706" s="23">
        <v>293</v>
      </c>
      <c r="M706" s="23">
        <v>298</v>
      </c>
      <c r="N706" s="23">
        <v>298</v>
      </c>
      <c r="O706" s="23">
        <v>310</v>
      </c>
      <c r="P706" s="22">
        <f>Table47107167[[#This Row],[10/31/23]]-Table47107167[[#This Row],[10/31/22]]</f>
        <v>12</v>
      </c>
      <c r="Q706" s="15">
        <f t="shared" si="129"/>
        <v>3.870967741935484E-2</v>
      </c>
      <c r="R706" s="23"/>
      <c r="T706" s="7"/>
    </row>
    <row r="707" spans="1:20">
      <c r="A707" s="65"/>
      <c r="D707" s="24" t="s">
        <v>11</v>
      </c>
      <c r="E707" s="13">
        <f>66</f>
        <v>66</v>
      </c>
      <c r="F707" s="13">
        <v>61</v>
      </c>
      <c r="G707" s="13">
        <v>76</v>
      </c>
      <c r="H707" s="13">
        <v>82</v>
      </c>
      <c r="I707" s="13">
        <v>91</v>
      </c>
      <c r="J707" s="23">
        <v>86</v>
      </c>
      <c r="K707" s="23">
        <v>82</v>
      </c>
      <c r="L707" s="23">
        <v>77</v>
      </c>
      <c r="M707" s="23">
        <v>66</v>
      </c>
      <c r="N707" s="23">
        <v>70</v>
      </c>
      <c r="O707" s="23">
        <v>67</v>
      </c>
      <c r="P707" s="22">
        <f>Table47107167[[#This Row],[10/31/23]]-Table47107167[[#This Row],[10/31/22]]</f>
        <v>-3</v>
      </c>
      <c r="Q707" s="15">
        <f t="shared" si="129"/>
        <v>-4.4776119402985072E-2</v>
      </c>
      <c r="R707" s="23"/>
      <c r="T707" s="7"/>
    </row>
    <row r="708" spans="1:20">
      <c r="D708" s="24" t="s">
        <v>7</v>
      </c>
      <c r="E708" s="13">
        <f>SUM(E704:E707)</f>
        <v>273</v>
      </c>
      <c r="F708" s="13">
        <f>SUM(F704:F707)</f>
        <v>267</v>
      </c>
      <c r="G708" s="13">
        <f>SUM(G704:G707)</f>
        <v>331</v>
      </c>
      <c r="H708" s="13">
        <f>SUM(H704:H707)</f>
        <v>360</v>
      </c>
      <c r="I708" s="13">
        <v>378</v>
      </c>
      <c r="J708" s="13">
        <v>380</v>
      </c>
      <c r="K708" s="13">
        <v>383</v>
      </c>
      <c r="L708" s="13">
        <v>384</v>
      </c>
      <c r="M708" s="13">
        <v>378</v>
      </c>
      <c r="N708" s="13">
        <v>380</v>
      </c>
      <c r="O708" s="13">
        <f>SUM(O704:O707)</f>
        <v>392</v>
      </c>
      <c r="P708" s="22">
        <f>Table47107167[[#This Row],[10/31/23]]-Table47107167[[#This Row],[10/31/22]]</f>
        <v>12</v>
      </c>
      <c r="Q708" s="15">
        <f t="shared" si="129"/>
        <v>3.0612244897959183E-2</v>
      </c>
      <c r="R708" s="23"/>
      <c r="T708" s="7"/>
    </row>
    <row r="709" spans="1:20">
      <c r="D709" s="24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22"/>
      <c r="P709" s="15"/>
      <c r="Q709" s="23"/>
      <c r="R709" s="7"/>
    </row>
    <row r="710" spans="1:20">
      <c r="D710" s="23"/>
      <c r="E710" s="13"/>
      <c r="F710" s="13"/>
      <c r="G710" s="13"/>
      <c r="H710" s="13"/>
      <c r="I710" s="13"/>
      <c r="J710" s="13"/>
      <c r="K710" s="23"/>
      <c r="L710" s="23"/>
      <c r="M710" s="23"/>
      <c r="N710" s="23"/>
      <c r="O710" s="22"/>
      <c r="P710" s="15"/>
      <c r="Q710" s="23"/>
      <c r="R710" s="7"/>
    </row>
    <row r="711" spans="1:20" ht="18.75">
      <c r="B711" s="12" t="s">
        <v>51</v>
      </c>
      <c r="D711" s="23"/>
      <c r="E711" s="13"/>
      <c r="F711" s="13"/>
      <c r="G711" s="13"/>
      <c r="H711" s="13"/>
      <c r="I711" s="13"/>
      <c r="J711" s="13"/>
      <c r="K711" s="23"/>
      <c r="L711" s="23"/>
      <c r="M711" s="23"/>
      <c r="N711" s="23"/>
      <c r="O711" s="22"/>
      <c r="P711" s="15"/>
      <c r="Q711" s="23"/>
      <c r="R711" s="7"/>
    </row>
    <row r="712" spans="1:20">
      <c r="D712" s="23"/>
      <c r="E712" s="13"/>
      <c r="F712" s="13"/>
      <c r="G712" s="13"/>
      <c r="H712" s="13"/>
      <c r="I712" s="13"/>
      <c r="J712" s="13"/>
      <c r="K712" s="23"/>
      <c r="L712" s="23"/>
      <c r="M712" s="23"/>
      <c r="N712" s="23"/>
      <c r="O712" s="22"/>
      <c r="P712" s="15"/>
      <c r="Q712" s="23"/>
      <c r="R712" s="7"/>
    </row>
    <row r="713" spans="1:20" ht="18.75">
      <c r="C713" s="16" t="s">
        <v>52</v>
      </c>
      <c r="D713" s="23"/>
      <c r="E713" s="13"/>
      <c r="F713" s="13"/>
      <c r="G713" s="13"/>
      <c r="H713" s="13"/>
      <c r="I713" s="13"/>
      <c r="J713" s="13"/>
      <c r="K713" s="23"/>
      <c r="L713" s="23"/>
      <c r="M713" s="23"/>
      <c r="N713" s="23"/>
      <c r="O713" s="22"/>
      <c r="P713" s="15"/>
      <c r="Q713" s="23"/>
      <c r="R713" s="7"/>
    </row>
    <row r="714" spans="1:20" ht="15.75">
      <c r="C714" s="16"/>
      <c r="D714" s="17" t="s">
        <v>45</v>
      </c>
      <c r="E714" s="19" t="s">
        <v>2</v>
      </c>
      <c r="F714" s="19" t="s">
        <v>3</v>
      </c>
      <c r="G714" s="19" t="s">
        <v>4</v>
      </c>
      <c r="H714" s="19" t="s">
        <v>5</v>
      </c>
      <c r="I714" s="19" t="s">
        <v>46</v>
      </c>
      <c r="J714" s="18" t="s">
        <v>47</v>
      </c>
      <c r="K714" s="18" t="s">
        <v>42</v>
      </c>
      <c r="L714" s="18" t="s">
        <v>43</v>
      </c>
      <c r="M714" s="18" t="s">
        <v>44</v>
      </c>
      <c r="N714" s="18" t="s">
        <v>54</v>
      </c>
      <c r="O714" s="18" t="s">
        <v>55</v>
      </c>
      <c r="P714" s="20" t="s">
        <v>49</v>
      </c>
      <c r="Q714" s="21" t="s">
        <v>50</v>
      </c>
      <c r="R714" s="23"/>
      <c r="T714" s="7"/>
    </row>
    <row r="715" spans="1:20">
      <c r="D715" s="23" t="s">
        <v>8</v>
      </c>
      <c r="E715" s="25">
        <f>E790 - E640</f>
        <v>3.33</v>
      </c>
      <c r="F715" s="25">
        <v>4</v>
      </c>
      <c r="G715" s="25">
        <v>16</v>
      </c>
      <c r="H715" s="25">
        <v>13</v>
      </c>
      <c r="I715" s="25">
        <v>13</v>
      </c>
      <c r="J715" s="45">
        <v>15</v>
      </c>
      <c r="K715" s="45">
        <v>16</v>
      </c>
      <c r="L715" s="45">
        <v>14</v>
      </c>
      <c r="M715" s="45">
        <v>14</v>
      </c>
      <c r="N715" s="45">
        <v>12</v>
      </c>
      <c r="O715" s="45">
        <v>15</v>
      </c>
      <c r="P715" s="22">
        <f>Table48108168[[#This Row],[10/31/23]]-Table48108168[[#This Row],[10/31/22]]</f>
        <v>3</v>
      </c>
      <c r="Q715" s="15">
        <f t="shared" ref="Q715:Q719" si="130">IF(O715&lt;&gt;0,P715/O715,"           -")</f>
        <v>0.2</v>
      </c>
      <c r="R715" s="23"/>
      <c r="T715" s="7"/>
    </row>
    <row r="716" spans="1:20">
      <c r="D716" s="23" t="s">
        <v>9</v>
      </c>
      <c r="E716" s="25">
        <v>0</v>
      </c>
      <c r="F716" s="25">
        <v>0</v>
      </c>
      <c r="G716" s="25">
        <v>0</v>
      </c>
      <c r="H716" s="25">
        <v>0</v>
      </c>
      <c r="I716" s="25">
        <v>0</v>
      </c>
      <c r="J716" s="45">
        <v>0</v>
      </c>
      <c r="K716" s="45">
        <v>0</v>
      </c>
      <c r="L716" s="45">
        <v>0</v>
      </c>
      <c r="M716" s="45">
        <v>0</v>
      </c>
      <c r="N716" s="45">
        <v>0</v>
      </c>
      <c r="O716" s="45">
        <v>0</v>
      </c>
      <c r="P716" s="22">
        <f>Table48108168[[#This Row],[10/31/23]]-Table48108168[[#This Row],[10/31/22]]</f>
        <v>0</v>
      </c>
      <c r="Q716" s="15" t="str">
        <f t="shared" si="130"/>
        <v xml:space="preserve">           -</v>
      </c>
      <c r="R716" s="23"/>
      <c r="T716" s="7"/>
    </row>
    <row r="717" spans="1:20">
      <c r="D717" s="23" t="s">
        <v>10</v>
      </c>
      <c r="E717" s="25">
        <f>E792 - E642</f>
        <v>196.42999999999998</v>
      </c>
      <c r="F717" s="25">
        <f>194.43</f>
        <v>194.43</v>
      </c>
      <c r="G717" s="25">
        <f>131.9+2.68+96.3+0.25</f>
        <v>231.13</v>
      </c>
      <c r="H717" s="25">
        <v>257</v>
      </c>
      <c r="I717" s="25">
        <v>271</v>
      </c>
      <c r="J717" s="45">
        <v>272</v>
      </c>
      <c r="K717" s="45">
        <v>281</v>
      </c>
      <c r="L717" s="45">
        <v>287</v>
      </c>
      <c r="M717" s="45">
        <v>295</v>
      </c>
      <c r="N717" s="45">
        <v>297</v>
      </c>
      <c r="O717" s="45">
        <v>306</v>
      </c>
      <c r="P717" s="22">
        <f>Table48108168[[#This Row],[10/31/23]]-Table48108168[[#This Row],[10/31/22]]</f>
        <v>9</v>
      </c>
      <c r="Q717" s="15">
        <f t="shared" si="130"/>
        <v>2.9411764705882353E-2</v>
      </c>
      <c r="R717" s="23"/>
      <c r="T717" s="7"/>
    </row>
    <row r="718" spans="1:20">
      <c r="D718" s="23" t="s">
        <v>11</v>
      </c>
      <c r="E718" s="25">
        <f>65.5</f>
        <v>65.5</v>
      </c>
      <c r="F718" s="25">
        <f>61.3</f>
        <v>61.3</v>
      </c>
      <c r="G718" s="25">
        <v>75.930000000000007</v>
      </c>
      <c r="H718" s="25">
        <v>86</v>
      </c>
      <c r="I718" s="25">
        <v>90</v>
      </c>
      <c r="J718" s="45">
        <v>86</v>
      </c>
      <c r="K718" s="45">
        <v>83</v>
      </c>
      <c r="L718" s="45">
        <v>78</v>
      </c>
      <c r="M718" s="45">
        <v>67</v>
      </c>
      <c r="N718" s="45">
        <v>70</v>
      </c>
      <c r="O718" s="45">
        <v>67</v>
      </c>
      <c r="P718" s="22">
        <f>Table48108168[[#This Row],[10/31/23]]-Table48108168[[#This Row],[10/31/22]]</f>
        <v>-3</v>
      </c>
      <c r="Q718" s="15">
        <f t="shared" si="130"/>
        <v>-4.4776119402985072E-2</v>
      </c>
      <c r="R718" s="23"/>
      <c r="T718" s="7"/>
    </row>
    <row r="719" spans="1:20">
      <c r="D719" s="23" t="s">
        <v>7</v>
      </c>
      <c r="E719" s="13">
        <f>SUM(E715:E718)</f>
        <v>265.26</v>
      </c>
      <c r="F719" s="13">
        <f>SUM(F715:F718)</f>
        <v>259.73</v>
      </c>
      <c r="G719" s="13">
        <f>SUM(G715:G718)</f>
        <v>323.06</v>
      </c>
      <c r="H719" s="13">
        <f>SUM(H715:H718)</f>
        <v>356</v>
      </c>
      <c r="I719" s="13">
        <v>374</v>
      </c>
      <c r="J719" s="13">
        <v>373</v>
      </c>
      <c r="K719" s="13">
        <v>380</v>
      </c>
      <c r="L719" s="13">
        <v>379</v>
      </c>
      <c r="M719" s="13">
        <v>376</v>
      </c>
      <c r="N719" s="13">
        <v>379</v>
      </c>
      <c r="O719" s="13">
        <f>SUM(O715:O718)</f>
        <v>388</v>
      </c>
      <c r="P719" s="22">
        <f>Table48108168[[#This Row],[10/31/23]]-Table48108168[[#This Row],[10/31/22]]</f>
        <v>9</v>
      </c>
      <c r="Q719" s="15">
        <f t="shared" si="130"/>
        <v>2.3195876288659795E-2</v>
      </c>
      <c r="R719" s="23"/>
      <c r="T719" s="7"/>
    </row>
    <row r="720" spans="1:20">
      <c r="D720" s="23"/>
      <c r="E720" s="25"/>
      <c r="F720" s="25"/>
      <c r="G720" s="25"/>
      <c r="H720" s="25"/>
      <c r="I720" s="25"/>
      <c r="J720" s="45"/>
      <c r="K720" s="45"/>
      <c r="L720" s="45"/>
      <c r="M720" s="45"/>
      <c r="N720" s="45"/>
      <c r="O720" s="60"/>
      <c r="P720" s="22"/>
      <c r="Q720" s="15"/>
      <c r="R720" s="7"/>
    </row>
    <row r="721" spans="3:20" ht="18.75">
      <c r="C721" s="16" t="s">
        <v>53</v>
      </c>
      <c r="D721" s="23"/>
      <c r="E721" s="13"/>
      <c r="F721" s="25"/>
      <c r="G721" s="25"/>
      <c r="H721" s="25"/>
      <c r="I721" s="25"/>
      <c r="J721" s="25"/>
      <c r="K721" s="39"/>
      <c r="L721" s="39"/>
      <c r="M721" s="39"/>
      <c r="N721" s="39"/>
      <c r="O721" s="22"/>
      <c r="P721" s="15"/>
      <c r="Q721" s="23"/>
      <c r="R721" s="7"/>
    </row>
    <row r="722" spans="3:20" ht="15.75">
      <c r="C722" s="16"/>
      <c r="D722" s="17" t="s">
        <v>45</v>
      </c>
      <c r="E722" s="19" t="s">
        <v>2</v>
      </c>
      <c r="F722" s="19" t="s">
        <v>3</v>
      </c>
      <c r="G722" s="19" t="s">
        <v>4</v>
      </c>
      <c r="H722" s="19" t="s">
        <v>5</v>
      </c>
      <c r="I722" s="19" t="s">
        <v>46</v>
      </c>
      <c r="J722" s="18" t="s">
        <v>47</v>
      </c>
      <c r="K722" s="18" t="s">
        <v>42</v>
      </c>
      <c r="L722" s="18" t="s">
        <v>43</v>
      </c>
      <c r="M722" s="18" t="s">
        <v>44</v>
      </c>
      <c r="N722" s="18" t="s">
        <v>54</v>
      </c>
      <c r="O722" s="18" t="s">
        <v>55</v>
      </c>
      <c r="P722" s="20" t="s">
        <v>49</v>
      </c>
      <c r="Q722" s="21" t="s">
        <v>50</v>
      </c>
      <c r="R722" s="23"/>
      <c r="T722" s="7"/>
    </row>
    <row r="723" spans="3:20">
      <c r="D723" s="23" t="s">
        <v>8</v>
      </c>
      <c r="E723" s="25">
        <f t="shared" ref="E723:G726" si="131">E731-E715</f>
        <v>0</v>
      </c>
      <c r="F723" s="25">
        <f t="shared" si="131"/>
        <v>0</v>
      </c>
      <c r="G723" s="25">
        <f t="shared" si="131"/>
        <v>1.1000000000000014</v>
      </c>
      <c r="H723" s="25">
        <v>1</v>
      </c>
      <c r="I723" s="25">
        <v>0</v>
      </c>
      <c r="J723" s="46">
        <v>0</v>
      </c>
      <c r="K723" s="46">
        <v>0</v>
      </c>
      <c r="L723" s="46">
        <v>0</v>
      </c>
      <c r="M723" s="46">
        <v>0</v>
      </c>
      <c r="N723" s="46">
        <v>0</v>
      </c>
      <c r="O723" s="46">
        <v>0</v>
      </c>
      <c r="P723" s="22">
        <f>Table49109169[[#This Row],[10/31/23]]-Table49109169[[#This Row],[10/31/22]]</f>
        <v>0</v>
      </c>
      <c r="Q723" s="15" t="str">
        <f t="shared" ref="Q723:Q727" si="132">IF(O723&lt;&gt;0,P723/O723,"           -")</f>
        <v xml:space="preserve">           -</v>
      </c>
      <c r="R723" s="23"/>
      <c r="T723" s="7"/>
    </row>
    <row r="724" spans="3:20">
      <c r="D724" s="23" t="s">
        <v>9</v>
      </c>
      <c r="E724" s="25">
        <f t="shared" si="131"/>
        <v>0</v>
      </c>
      <c r="F724" s="25">
        <f t="shared" si="131"/>
        <v>0</v>
      </c>
      <c r="G724" s="25">
        <f t="shared" si="131"/>
        <v>0</v>
      </c>
      <c r="H724" s="25">
        <v>0</v>
      </c>
      <c r="I724" s="25">
        <v>0</v>
      </c>
      <c r="J724" s="46">
        <v>0</v>
      </c>
      <c r="K724" s="46">
        <v>0</v>
      </c>
      <c r="L724" s="46">
        <v>0</v>
      </c>
      <c r="M724" s="46">
        <v>0</v>
      </c>
      <c r="N724" s="46">
        <v>0</v>
      </c>
      <c r="O724" s="46">
        <v>0</v>
      </c>
      <c r="P724" s="22">
        <f>Table49109169[[#This Row],[10/31/23]]-Table49109169[[#This Row],[10/31/22]]</f>
        <v>0</v>
      </c>
      <c r="Q724" s="15" t="str">
        <f t="shared" si="132"/>
        <v xml:space="preserve">           -</v>
      </c>
      <c r="R724" s="23"/>
      <c r="T724" s="7"/>
    </row>
    <row r="725" spans="3:20">
      <c r="D725" s="23" t="s">
        <v>10</v>
      </c>
      <c r="E725" s="25">
        <f t="shared" si="131"/>
        <v>11.22999999999999</v>
      </c>
      <c r="F725" s="25">
        <f t="shared" si="131"/>
        <v>11.180000000000007</v>
      </c>
      <c r="G725" s="25">
        <f t="shared" si="131"/>
        <v>12.669999999999987</v>
      </c>
      <c r="H725" s="25">
        <v>11</v>
      </c>
      <c r="I725" s="25">
        <v>8</v>
      </c>
      <c r="J725" s="46">
        <v>10</v>
      </c>
      <c r="K725" s="46">
        <v>7</v>
      </c>
      <c r="L725" s="46">
        <v>8</v>
      </c>
      <c r="M725" s="46">
        <v>5</v>
      </c>
      <c r="N725" s="46">
        <v>4</v>
      </c>
      <c r="O725" s="46">
        <v>7</v>
      </c>
      <c r="P725" s="22">
        <f>Table49109169[[#This Row],[10/31/23]]-Table49109169[[#This Row],[10/31/22]]</f>
        <v>3</v>
      </c>
      <c r="Q725" s="15">
        <f t="shared" si="132"/>
        <v>0.42857142857142855</v>
      </c>
      <c r="R725" s="23"/>
      <c r="T725" s="7"/>
    </row>
    <row r="726" spans="3:20">
      <c r="D726" s="23" t="s">
        <v>11</v>
      </c>
      <c r="E726" s="25">
        <f t="shared" si="131"/>
        <v>1.5</v>
      </c>
      <c r="F726" s="25">
        <f t="shared" si="131"/>
        <v>1.5</v>
      </c>
      <c r="G726" s="25">
        <f t="shared" si="131"/>
        <v>1.5</v>
      </c>
      <c r="H726" s="25">
        <v>2</v>
      </c>
      <c r="I726" s="25">
        <v>2</v>
      </c>
      <c r="J726" s="46">
        <v>2</v>
      </c>
      <c r="K726" s="46">
        <v>2</v>
      </c>
      <c r="L726" s="46">
        <v>2</v>
      </c>
      <c r="M726" s="46">
        <v>1</v>
      </c>
      <c r="N726" s="46">
        <v>1</v>
      </c>
      <c r="O726" s="46">
        <v>1</v>
      </c>
      <c r="P726" s="22">
        <f>Table49109169[[#This Row],[10/31/23]]-Table49109169[[#This Row],[10/31/22]]</f>
        <v>0</v>
      </c>
      <c r="Q726" s="15">
        <f t="shared" si="132"/>
        <v>0</v>
      </c>
      <c r="R726" s="23"/>
      <c r="T726" s="7"/>
    </row>
    <row r="727" spans="3:20">
      <c r="D727" s="23" t="s">
        <v>7</v>
      </c>
      <c r="E727" s="25">
        <f>SUM(E723:E726)</f>
        <v>12.72999999999999</v>
      </c>
      <c r="F727" s="25">
        <f>SUM(F723:F726)</f>
        <v>12.680000000000007</v>
      </c>
      <c r="G727" s="25">
        <f>SUM(G723:G726)</f>
        <v>15.269999999999989</v>
      </c>
      <c r="H727" s="25">
        <f>SUM(H723:H726)</f>
        <v>14</v>
      </c>
      <c r="I727" s="25">
        <v>10</v>
      </c>
      <c r="J727" s="25">
        <v>12</v>
      </c>
      <c r="K727" s="25">
        <v>9</v>
      </c>
      <c r="L727" s="25">
        <v>10</v>
      </c>
      <c r="M727" s="25">
        <v>6</v>
      </c>
      <c r="N727" s="25">
        <v>5</v>
      </c>
      <c r="O727" s="25">
        <f>SUM(O723:O726)</f>
        <v>8</v>
      </c>
      <c r="P727" s="22">
        <f>Table49109169[[#This Row],[10/31/23]]-Table49109169[[#This Row],[10/31/22]]</f>
        <v>3</v>
      </c>
      <c r="Q727" s="15">
        <f t="shared" si="132"/>
        <v>0.375</v>
      </c>
      <c r="R727" s="23"/>
      <c r="T727" s="7"/>
    </row>
    <row r="728" spans="3:20">
      <c r="D728" s="23"/>
      <c r="E728" s="25"/>
      <c r="F728" s="25"/>
      <c r="G728" s="25"/>
      <c r="H728" s="25"/>
      <c r="I728" s="25"/>
      <c r="J728" s="61"/>
      <c r="K728" s="61"/>
      <c r="L728" s="61"/>
      <c r="M728" s="61"/>
      <c r="N728" s="61"/>
      <c r="O728" s="62"/>
      <c r="P728" s="22"/>
      <c r="Q728" s="15"/>
      <c r="R728" s="7"/>
    </row>
    <row r="729" spans="3:20" ht="15.75">
      <c r="C729" s="16" t="s">
        <v>17</v>
      </c>
      <c r="D729" s="23"/>
      <c r="E729" s="13"/>
      <c r="F729" s="25"/>
      <c r="G729" s="25"/>
      <c r="H729" s="25"/>
      <c r="I729" s="25"/>
      <c r="J729" s="25"/>
      <c r="K729" s="23"/>
      <c r="L729" s="23"/>
      <c r="M729" s="23"/>
      <c r="N729" s="23"/>
      <c r="O729" s="22"/>
      <c r="P729" s="15"/>
      <c r="Q729" s="23"/>
      <c r="R729" s="7"/>
    </row>
    <row r="730" spans="3:20" ht="15.75">
      <c r="C730" s="16"/>
      <c r="D730" s="17" t="s">
        <v>45</v>
      </c>
      <c r="E730" s="19" t="s">
        <v>2</v>
      </c>
      <c r="F730" s="19" t="s">
        <v>3</v>
      </c>
      <c r="G730" s="19" t="s">
        <v>4</v>
      </c>
      <c r="H730" s="19" t="s">
        <v>5</v>
      </c>
      <c r="I730" s="19" t="s">
        <v>46</v>
      </c>
      <c r="J730" s="18" t="s">
        <v>47</v>
      </c>
      <c r="K730" s="18" t="s">
        <v>42</v>
      </c>
      <c r="L730" s="18" t="s">
        <v>43</v>
      </c>
      <c r="M730" s="18" t="s">
        <v>44</v>
      </c>
      <c r="N730" s="18" t="s">
        <v>54</v>
      </c>
      <c r="O730" s="18" t="s">
        <v>55</v>
      </c>
      <c r="P730" s="20" t="s">
        <v>49</v>
      </c>
      <c r="Q730" s="21" t="s">
        <v>50</v>
      </c>
      <c r="R730" s="23"/>
      <c r="T730" s="7"/>
    </row>
    <row r="731" spans="3:20">
      <c r="D731" s="23" t="s">
        <v>8</v>
      </c>
      <c r="E731" s="25">
        <f>E806 - E656</f>
        <v>3.33</v>
      </c>
      <c r="F731" s="25">
        <v>4</v>
      </c>
      <c r="G731" s="25">
        <v>17.100000000000001</v>
      </c>
      <c r="H731" s="25">
        <f>H723+H715</f>
        <v>14</v>
      </c>
      <c r="I731" s="25">
        <v>13</v>
      </c>
      <c r="J731" s="25">
        <v>15</v>
      </c>
      <c r="K731" s="25">
        <v>16</v>
      </c>
      <c r="L731" s="25">
        <v>14</v>
      </c>
      <c r="M731" s="25">
        <v>14</v>
      </c>
      <c r="N731" s="25">
        <v>12</v>
      </c>
      <c r="O731" s="25">
        <v>15</v>
      </c>
      <c r="P731" s="22">
        <f>Table50110170[[#This Row],[10/31/23]]-Table50110170[[#This Row],[10/31/22]]</f>
        <v>3</v>
      </c>
      <c r="Q731" s="15">
        <f t="shared" ref="Q731:Q735" si="133">IF(O731&lt;&gt;0,P731/O731,"           -")</f>
        <v>0.2</v>
      </c>
      <c r="R731" s="23"/>
      <c r="T731" s="7"/>
    </row>
    <row r="732" spans="3:20">
      <c r="D732" s="23" t="s">
        <v>9</v>
      </c>
      <c r="E732" s="25">
        <f>0</f>
        <v>0</v>
      </c>
      <c r="F732" s="25">
        <f>0</f>
        <v>0</v>
      </c>
      <c r="G732" s="25">
        <v>0</v>
      </c>
      <c r="H732" s="25">
        <f>H724+H716</f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2">
        <f>Table50110170[[#This Row],[10/31/23]]-Table50110170[[#This Row],[10/31/22]]</f>
        <v>0</v>
      </c>
      <c r="Q732" s="15" t="str">
        <f t="shared" si="133"/>
        <v xml:space="preserve">           -</v>
      </c>
      <c r="S732" s="10"/>
      <c r="T732" s="7"/>
    </row>
    <row r="733" spans="3:20">
      <c r="D733" s="23" t="s">
        <v>10</v>
      </c>
      <c r="E733" s="25">
        <f>E808 - E658</f>
        <v>207.65999999999997</v>
      </c>
      <c r="F733" s="25">
        <v>205.61</v>
      </c>
      <c r="G733" s="25">
        <f>144.7+99.1</f>
        <v>243.79999999999998</v>
      </c>
      <c r="H733" s="25">
        <f>H725+H717</f>
        <v>268</v>
      </c>
      <c r="I733" s="25">
        <v>279</v>
      </c>
      <c r="J733" s="25">
        <v>282</v>
      </c>
      <c r="K733" s="25">
        <v>288</v>
      </c>
      <c r="L733" s="25">
        <v>295</v>
      </c>
      <c r="M733" s="25">
        <v>300</v>
      </c>
      <c r="N733" s="25">
        <v>301</v>
      </c>
      <c r="O733" s="25">
        <v>313</v>
      </c>
      <c r="P733" s="22">
        <f>Table50110170[[#This Row],[10/31/23]]-Table50110170[[#This Row],[10/31/22]]</f>
        <v>12</v>
      </c>
      <c r="Q733" s="15">
        <f t="shared" si="133"/>
        <v>3.8338658146964855E-2</v>
      </c>
      <c r="S733" s="10"/>
      <c r="T733" s="7"/>
    </row>
    <row r="734" spans="3:20">
      <c r="D734" s="23" t="s">
        <v>11</v>
      </c>
      <c r="E734" s="25">
        <f>67</f>
        <v>67</v>
      </c>
      <c r="F734" s="25">
        <v>62.8</v>
      </c>
      <c r="G734" s="25">
        <v>77.430000000000007</v>
      </c>
      <c r="H734" s="25">
        <f>H726+H718</f>
        <v>88</v>
      </c>
      <c r="I734" s="25">
        <v>92</v>
      </c>
      <c r="J734" s="25">
        <v>88</v>
      </c>
      <c r="K734" s="25">
        <v>85</v>
      </c>
      <c r="L734" s="25">
        <v>80</v>
      </c>
      <c r="M734" s="25">
        <v>68</v>
      </c>
      <c r="N734" s="25">
        <v>71</v>
      </c>
      <c r="O734" s="25">
        <v>68</v>
      </c>
      <c r="P734" s="22">
        <f>Table50110170[[#This Row],[10/31/23]]-Table50110170[[#This Row],[10/31/22]]</f>
        <v>-3</v>
      </c>
      <c r="Q734" s="15">
        <f t="shared" si="133"/>
        <v>-4.4117647058823532E-2</v>
      </c>
      <c r="S734" s="10"/>
      <c r="T734" s="7"/>
    </row>
    <row r="735" spans="3:20">
      <c r="D735" s="23" t="s">
        <v>7</v>
      </c>
      <c r="E735" s="13">
        <f>SUM(E731:E734)</f>
        <v>277.99</v>
      </c>
      <c r="F735" s="13">
        <f>SUM(F731:F734)</f>
        <v>272.41000000000003</v>
      </c>
      <c r="G735" s="13">
        <f>SUM(G731:G734)</f>
        <v>338.33</v>
      </c>
      <c r="H735" s="13">
        <f>SUM(H731:H734)</f>
        <v>370</v>
      </c>
      <c r="I735" s="13">
        <v>384</v>
      </c>
      <c r="J735" s="13">
        <v>385</v>
      </c>
      <c r="K735" s="13">
        <v>389</v>
      </c>
      <c r="L735" s="13">
        <v>389</v>
      </c>
      <c r="M735" s="13">
        <v>382</v>
      </c>
      <c r="N735" s="13">
        <v>384</v>
      </c>
      <c r="O735" s="13">
        <f>SUM(O731:O734)</f>
        <v>396</v>
      </c>
      <c r="P735" s="22">
        <f>Table50110170[[#This Row],[10/31/23]]-Table50110170[[#This Row],[10/31/22]]</f>
        <v>12</v>
      </c>
      <c r="Q735" s="15">
        <f t="shared" si="133"/>
        <v>3.0303030303030304E-2</v>
      </c>
      <c r="S735" s="10"/>
      <c r="T735" s="7"/>
    </row>
    <row r="736" spans="3:20">
      <c r="D736" s="23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2"/>
      <c r="Q736" s="15"/>
    </row>
    <row r="737" spans="2:18">
      <c r="B737" s="7" t="str">
        <f>"_________________________"</f>
        <v>_________________________</v>
      </c>
    </row>
    <row r="738" spans="2:18" ht="18">
      <c r="C738" s="67">
        <v>1</v>
      </c>
      <c r="D738" s="7" t="s">
        <v>18</v>
      </c>
    </row>
    <row r="739" spans="2:18" ht="18">
      <c r="C739" s="67">
        <v>2</v>
      </c>
      <c r="D739" s="7" t="s">
        <v>19</v>
      </c>
    </row>
    <row r="740" spans="2:18" ht="18">
      <c r="C740" s="67"/>
      <c r="D740" s="7" t="s">
        <v>20</v>
      </c>
    </row>
    <row r="741" spans="2:18" ht="18">
      <c r="C741" s="67">
        <v>3</v>
      </c>
      <c r="D741" s="7" t="s">
        <v>21</v>
      </c>
    </row>
    <row r="742" spans="2:18">
      <c r="D742" s="7" t="s">
        <v>22</v>
      </c>
    </row>
    <row r="743" spans="2:18">
      <c r="D743" s="7" t="s">
        <v>23</v>
      </c>
    </row>
    <row r="744" spans="2:18" ht="18">
      <c r="C744" s="67">
        <v>4</v>
      </c>
      <c r="D744" s="7" t="s">
        <v>24</v>
      </c>
    </row>
    <row r="745" spans="2:18" ht="18">
      <c r="C745" s="67"/>
    </row>
    <row r="746" spans="2:18" ht="18">
      <c r="C746" s="67"/>
    </row>
    <row r="747" spans="2:18" ht="18">
      <c r="C747" s="67"/>
    </row>
    <row r="748" spans="2:18" ht="18">
      <c r="C748" s="67"/>
    </row>
    <row r="749" spans="2:18" ht="18">
      <c r="C749" s="67"/>
    </row>
    <row r="750" spans="2:18">
      <c r="B750" s="7" t="s">
        <v>25</v>
      </c>
    </row>
    <row r="751" spans="2:18">
      <c r="B751" s="7" t="str">
        <f>B75</f>
        <v>November 13, 2023</v>
      </c>
      <c r="C751" s="40"/>
      <c r="D751" s="40"/>
    </row>
    <row r="752" spans="2:18" ht="15.75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8"/>
      <c r="R752" s="8"/>
    </row>
    <row r="753" spans="1:20" ht="15.75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8"/>
      <c r="R753" s="8"/>
    </row>
    <row r="754" spans="1:20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7"/>
      <c r="R754" s="7"/>
    </row>
    <row r="755" spans="1:20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7"/>
      <c r="R755" s="7"/>
    </row>
    <row r="756" spans="1:20" ht="15.75">
      <c r="C756" s="8"/>
      <c r="D756" s="8"/>
      <c r="E756" s="8"/>
      <c r="F756" s="8"/>
      <c r="G756" s="8"/>
      <c r="H756" s="8"/>
      <c r="I756" s="40"/>
      <c r="J756" s="9" t="s">
        <v>26</v>
      </c>
      <c r="K756" s="8"/>
      <c r="L756" s="8"/>
      <c r="M756" s="8"/>
      <c r="N756" s="8"/>
      <c r="O756" s="8"/>
      <c r="P756" s="8"/>
      <c r="Q756" s="7"/>
      <c r="R756" s="7"/>
    </row>
    <row r="757" spans="1:20" ht="15.75">
      <c r="C757" s="8"/>
      <c r="D757" s="8"/>
      <c r="E757" s="8"/>
      <c r="F757" s="8"/>
      <c r="G757" s="8"/>
      <c r="H757" s="8"/>
      <c r="I757" s="40"/>
      <c r="J757" s="9" t="s">
        <v>37</v>
      </c>
      <c r="K757" s="8"/>
      <c r="L757" s="8"/>
      <c r="M757" s="8"/>
      <c r="N757" s="8"/>
      <c r="O757" s="8"/>
      <c r="P757" s="8"/>
      <c r="Q757" s="7"/>
      <c r="R757" s="7"/>
    </row>
    <row r="758" spans="1:20" s="72" customFormat="1" ht="15.75">
      <c r="A758" s="16"/>
      <c r="B758" s="7"/>
      <c r="C758" s="7"/>
      <c r="D758" s="7"/>
      <c r="E758" s="10"/>
      <c r="F758" s="10"/>
      <c r="G758" s="10"/>
      <c r="H758" s="13"/>
      <c r="I758" s="13"/>
      <c r="J758" s="13"/>
      <c r="K758" s="7"/>
      <c r="L758" s="7"/>
      <c r="M758" s="7"/>
      <c r="N758" s="7"/>
      <c r="O758" s="52"/>
      <c r="P758" s="53"/>
      <c r="Q758" s="7"/>
      <c r="R758" s="16"/>
      <c r="S758" s="16"/>
    </row>
    <row r="759" spans="1:20" s="72" customFormat="1" ht="15.75">
      <c r="A759" s="16"/>
      <c r="B759" s="7"/>
      <c r="C759" s="7"/>
      <c r="D759" s="7"/>
      <c r="E759" s="10"/>
      <c r="F759" s="10"/>
      <c r="G759" s="10"/>
      <c r="H759" s="13"/>
      <c r="I759" s="13"/>
      <c r="J759" s="13"/>
      <c r="K759" s="7"/>
      <c r="L759" s="7"/>
      <c r="M759" s="7"/>
      <c r="N759" s="7"/>
      <c r="O759" s="52"/>
      <c r="P759" s="53"/>
      <c r="Q759" s="7"/>
      <c r="R759" s="16"/>
      <c r="S759" s="16"/>
    </row>
    <row r="760" spans="1:20" ht="18.75">
      <c r="B760" s="12" t="s">
        <v>48</v>
      </c>
      <c r="E760" s="13"/>
      <c r="H760" s="13"/>
      <c r="I760" s="13"/>
      <c r="J760" s="13"/>
      <c r="K760" s="13"/>
      <c r="L760" s="13"/>
      <c r="M760" s="13"/>
      <c r="N760" s="13"/>
      <c r="O760" s="14"/>
      <c r="P760" s="15"/>
      <c r="Q760" s="7"/>
      <c r="R760" s="7"/>
    </row>
    <row r="761" spans="1:20">
      <c r="E761" s="13"/>
      <c r="H761" s="13"/>
      <c r="I761" s="13"/>
      <c r="J761" s="13"/>
      <c r="K761" s="13"/>
      <c r="L761" s="13"/>
      <c r="M761" s="13"/>
      <c r="N761" s="13"/>
      <c r="O761" s="14"/>
      <c r="P761" s="15"/>
      <c r="Q761" s="7"/>
      <c r="R761" s="7"/>
    </row>
    <row r="762" spans="1:20" ht="15.75">
      <c r="C762" s="16" t="s">
        <v>6</v>
      </c>
      <c r="E762" s="13"/>
      <c r="H762" s="13"/>
      <c r="I762" s="13"/>
      <c r="J762" s="13"/>
      <c r="K762" s="13"/>
      <c r="L762" s="13"/>
      <c r="M762" s="13"/>
      <c r="N762" s="13"/>
      <c r="O762" s="14"/>
      <c r="P762" s="15"/>
      <c r="Q762" s="7"/>
      <c r="R762" s="7"/>
    </row>
    <row r="763" spans="1:20" ht="15.75">
      <c r="C763" s="16"/>
      <c r="D763" s="17" t="s">
        <v>45</v>
      </c>
      <c r="E763" s="19" t="s">
        <v>2</v>
      </c>
      <c r="F763" s="19" t="s">
        <v>3</v>
      </c>
      <c r="G763" s="19" t="s">
        <v>4</v>
      </c>
      <c r="H763" s="19" t="s">
        <v>5</v>
      </c>
      <c r="I763" s="19" t="s">
        <v>46</v>
      </c>
      <c r="J763" s="18" t="s">
        <v>47</v>
      </c>
      <c r="K763" s="18" t="s">
        <v>42</v>
      </c>
      <c r="L763" s="18" t="s">
        <v>43</v>
      </c>
      <c r="M763" s="18" t="s">
        <v>44</v>
      </c>
      <c r="N763" s="18" t="s">
        <v>54</v>
      </c>
      <c r="O763" s="18" t="s">
        <v>55</v>
      </c>
      <c r="P763" s="20" t="s">
        <v>49</v>
      </c>
      <c r="Q763" s="21" t="s">
        <v>50</v>
      </c>
      <c r="R763" s="7"/>
      <c r="T763" s="7"/>
    </row>
    <row r="764" spans="1:20">
      <c r="D764" s="23" t="s">
        <v>7</v>
      </c>
      <c r="E764" s="13">
        <v>291</v>
      </c>
      <c r="F764" s="13">
        <v>285</v>
      </c>
      <c r="G764" s="13">
        <v>352</v>
      </c>
      <c r="H764" s="13">
        <f>H689+H614</f>
        <v>385</v>
      </c>
      <c r="I764" s="13">
        <v>403</v>
      </c>
      <c r="J764" s="13">
        <v>407</v>
      </c>
      <c r="K764" s="13">
        <v>408</v>
      </c>
      <c r="L764" s="13">
        <v>408</v>
      </c>
      <c r="M764" s="13">
        <v>400</v>
      </c>
      <c r="N764" s="13">
        <v>399</v>
      </c>
      <c r="O764" s="13">
        <v>410</v>
      </c>
      <c r="P764" s="22">
        <f>Table51111171[[#This Row],[10/31/23]]-Table51111171[[#This Row],[10/31/22]]</f>
        <v>11</v>
      </c>
      <c r="Q764" s="15">
        <f>IF(O764&lt;&gt;0,P764/O764,"           -")</f>
        <v>2.6829268292682926E-2</v>
      </c>
      <c r="R764" s="7"/>
      <c r="T764" s="7"/>
    </row>
    <row r="765" spans="1:20">
      <c r="D765" s="2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22"/>
      <c r="Q765" s="15"/>
      <c r="R765" s="7"/>
      <c r="T765" s="7"/>
    </row>
    <row r="766" spans="1:20">
      <c r="D766" s="23" t="s">
        <v>8</v>
      </c>
      <c r="E766" s="13">
        <v>12</v>
      </c>
      <c r="F766" s="13">
        <v>13</v>
      </c>
      <c r="G766" s="13">
        <v>28</v>
      </c>
      <c r="H766" s="13">
        <f>H691+H616</f>
        <v>28</v>
      </c>
      <c r="I766" s="13">
        <v>29</v>
      </c>
      <c r="J766" s="23">
        <v>31</v>
      </c>
      <c r="K766" s="23">
        <v>29</v>
      </c>
      <c r="L766" s="23">
        <v>28</v>
      </c>
      <c r="M766" s="23">
        <v>27</v>
      </c>
      <c r="N766" s="23">
        <v>24</v>
      </c>
      <c r="O766" s="23">
        <v>26</v>
      </c>
      <c r="P766" s="22">
        <f>Table51111171[[#This Row],[10/31/23]]-Table51111171[[#This Row],[10/31/22]]</f>
        <v>2</v>
      </c>
      <c r="Q766" s="15">
        <f t="shared" ref="Q766:Q775" si="134">IF(O766&lt;&gt;0,P766/O766,"           -")</f>
        <v>7.6923076923076927E-2</v>
      </c>
      <c r="R766" s="7"/>
      <c r="T766" s="7"/>
    </row>
    <row r="767" spans="1:20">
      <c r="D767" s="23" t="s">
        <v>9</v>
      </c>
      <c r="E767" s="13">
        <v>0</v>
      </c>
      <c r="F767" s="13">
        <v>0</v>
      </c>
      <c r="G767" s="13">
        <v>0</v>
      </c>
      <c r="H767" s="13">
        <f>H692+H617</f>
        <v>0</v>
      </c>
      <c r="I767" s="13">
        <v>0</v>
      </c>
      <c r="J767" s="23">
        <v>0</v>
      </c>
      <c r="K767" s="23">
        <v>1</v>
      </c>
      <c r="L767" s="23">
        <v>0</v>
      </c>
      <c r="M767" s="23">
        <v>0</v>
      </c>
      <c r="N767" s="23">
        <v>0</v>
      </c>
      <c r="O767" s="23">
        <v>0</v>
      </c>
      <c r="P767" s="22">
        <f>Table51111171[[#This Row],[10/31/23]]-Table51111171[[#This Row],[10/31/22]]</f>
        <v>0</v>
      </c>
      <c r="Q767" s="15" t="str">
        <f t="shared" si="134"/>
        <v xml:space="preserve">           -</v>
      </c>
      <c r="R767" s="7"/>
      <c r="T767" s="7"/>
    </row>
    <row r="768" spans="1:20">
      <c r="D768" s="23" t="s">
        <v>10</v>
      </c>
      <c r="E768" s="13">
        <f>143 + 68</f>
        <v>211</v>
      </c>
      <c r="F768" s="13">
        <f>145 + 63</f>
        <v>208</v>
      </c>
      <c r="G768" s="13">
        <f>145+101</f>
        <v>246</v>
      </c>
      <c r="H768" s="13">
        <f>H693+H618</f>
        <v>269</v>
      </c>
      <c r="I768" s="13">
        <v>281</v>
      </c>
      <c r="J768" s="23">
        <v>286</v>
      </c>
      <c r="K768" s="23">
        <v>291</v>
      </c>
      <c r="L768" s="23">
        <v>298</v>
      </c>
      <c r="M768" s="23">
        <v>303</v>
      </c>
      <c r="N768" s="23">
        <v>303</v>
      </c>
      <c r="O768" s="23">
        <v>316</v>
      </c>
      <c r="P768" s="22">
        <f>Table51111171[[#This Row],[10/31/23]]-Table51111171[[#This Row],[10/31/22]]</f>
        <v>13</v>
      </c>
      <c r="Q768" s="15">
        <f t="shared" si="134"/>
        <v>4.1139240506329111E-2</v>
      </c>
      <c r="R768" s="7"/>
      <c r="T768" s="7"/>
    </row>
    <row r="769" spans="1:20">
      <c r="D769" s="23" t="s">
        <v>11</v>
      </c>
      <c r="E769" s="13">
        <f>68</f>
        <v>68</v>
      </c>
      <c r="F769" s="13">
        <f>64</f>
        <v>64</v>
      </c>
      <c r="G769" s="13">
        <v>78</v>
      </c>
      <c r="H769" s="13">
        <f>H694+H619</f>
        <v>88</v>
      </c>
      <c r="I769" s="13">
        <v>93</v>
      </c>
      <c r="J769" s="23">
        <v>90</v>
      </c>
      <c r="K769" s="23">
        <v>87</v>
      </c>
      <c r="L769" s="23">
        <v>82</v>
      </c>
      <c r="M769" s="23">
        <v>70</v>
      </c>
      <c r="N769" s="23">
        <v>72</v>
      </c>
      <c r="O769" s="23">
        <v>68</v>
      </c>
      <c r="P769" s="22">
        <f>Table51111171[[#This Row],[10/31/23]]-Table51111171[[#This Row],[10/31/22]]</f>
        <v>-4</v>
      </c>
      <c r="Q769" s="15">
        <f t="shared" si="134"/>
        <v>-5.8823529411764705E-2</v>
      </c>
      <c r="R769" s="7"/>
      <c r="T769" s="7"/>
    </row>
    <row r="770" spans="1:20">
      <c r="D770" s="23"/>
      <c r="E770" s="13"/>
      <c r="F770" s="13"/>
      <c r="G770" s="13"/>
      <c r="H770" s="13"/>
      <c r="I770" s="13"/>
      <c r="J770" s="23"/>
      <c r="K770" s="23"/>
      <c r="L770" s="23"/>
      <c r="M770" s="23"/>
      <c r="N770" s="23"/>
      <c r="O770" s="23"/>
      <c r="P770" s="22"/>
      <c r="Q770" s="15"/>
      <c r="R770" s="7"/>
      <c r="T770" s="7"/>
    </row>
    <row r="771" spans="1:20">
      <c r="D771" s="23" t="s">
        <v>12</v>
      </c>
      <c r="E771" s="13">
        <f>283</f>
        <v>283</v>
      </c>
      <c r="F771" s="13">
        <f>277</f>
        <v>277</v>
      </c>
      <c r="G771" s="13">
        <v>340</v>
      </c>
      <c r="H771" s="13">
        <f>H696+H621</f>
        <v>372</v>
      </c>
      <c r="I771" s="13">
        <v>393</v>
      </c>
      <c r="J771" s="77">
        <v>395</v>
      </c>
      <c r="K771" s="77">
        <v>396</v>
      </c>
      <c r="L771" s="77">
        <v>398</v>
      </c>
      <c r="M771" s="77">
        <v>392</v>
      </c>
      <c r="N771" s="77">
        <v>393</v>
      </c>
      <c r="O771" s="77">
        <v>404</v>
      </c>
      <c r="P771" s="22">
        <f>Table51111171[[#This Row],[10/31/23]]-Table51111171[[#This Row],[10/31/22]]</f>
        <v>11</v>
      </c>
      <c r="Q771" s="15">
        <f t="shared" si="134"/>
        <v>2.7227722772277228E-2</v>
      </c>
      <c r="R771" s="7"/>
      <c r="T771" s="7"/>
    </row>
    <row r="772" spans="1:20">
      <c r="D772" s="23" t="s">
        <v>13</v>
      </c>
      <c r="E772" s="13">
        <f>8</f>
        <v>8</v>
      </c>
      <c r="F772" s="13">
        <f>8</f>
        <v>8</v>
      </c>
      <c r="G772" s="13">
        <v>12</v>
      </c>
      <c r="H772" s="13">
        <f>H697+H622</f>
        <v>13</v>
      </c>
      <c r="I772" s="13">
        <v>10</v>
      </c>
      <c r="J772" s="23">
        <v>12</v>
      </c>
      <c r="K772" s="23">
        <v>12</v>
      </c>
      <c r="L772" s="23">
        <v>10</v>
      </c>
      <c r="M772" s="23">
        <v>8</v>
      </c>
      <c r="N772" s="23">
        <v>6</v>
      </c>
      <c r="O772" s="23">
        <v>6</v>
      </c>
      <c r="P772" s="22">
        <f>Table51111171[[#This Row],[10/31/23]]-Table51111171[[#This Row],[10/31/22]]</f>
        <v>0</v>
      </c>
      <c r="Q772" s="15">
        <f t="shared" si="134"/>
        <v>0</v>
      </c>
      <c r="R772" s="7"/>
      <c r="T772" s="7"/>
    </row>
    <row r="773" spans="1:20">
      <c r="D773" s="23"/>
      <c r="E773" s="13"/>
      <c r="F773" s="13"/>
      <c r="G773" s="13"/>
      <c r="H773" s="13"/>
      <c r="I773" s="13"/>
      <c r="J773" s="23"/>
      <c r="K773" s="23"/>
      <c r="L773" s="23"/>
      <c r="M773" s="23"/>
      <c r="N773" s="23"/>
      <c r="O773" s="23"/>
      <c r="P773" s="22"/>
      <c r="Q773" s="15"/>
      <c r="R773" s="7"/>
      <c r="T773" s="7"/>
    </row>
    <row r="774" spans="1:20">
      <c r="D774" s="23" t="s">
        <v>14</v>
      </c>
      <c r="E774" s="13">
        <f>291</f>
        <v>291</v>
      </c>
      <c r="F774" s="13">
        <f>285</f>
        <v>285</v>
      </c>
      <c r="G774" s="13">
        <v>352</v>
      </c>
      <c r="H774" s="13">
        <f>H699+H624</f>
        <v>385</v>
      </c>
      <c r="I774" s="13">
        <v>403</v>
      </c>
      <c r="J774" s="77">
        <v>407</v>
      </c>
      <c r="K774" s="77">
        <v>408</v>
      </c>
      <c r="L774" s="77">
        <v>408</v>
      </c>
      <c r="M774" s="77">
        <v>400</v>
      </c>
      <c r="N774" s="77">
        <v>399</v>
      </c>
      <c r="O774" s="77">
        <v>410</v>
      </c>
      <c r="P774" s="22">
        <f>Table51111171[[#This Row],[10/31/23]]-Table51111171[[#This Row],[10/31/22]]</f>
        <v>11</v>
      </c>
      <c r="Q774" s="15">
        <f t="shared" si="134"/>
        <v>2.6829268292682926E-2</v>
      </c>
      <c r="R774" s="7"/>
      <c r="T774" s="7"/>
    </row>
    <row r="775" spans="1:20">
      <c r="D775" s="23" t="s">
        <v>15</v>
      </c>
      <c r="E775" s="13">
        <f>0</f>
        <v>0</v>
      </c>
      <c r="F775" s="13">
        <v>0</v>
      </c>
      <c r="G775" s="13">
        <v>0</v>
      </c>
      <c r="H775" s="13">
        <f>H700+H625</f>
        <v>0</v>
      </c>
      <c r="I775" s="13">
        <v>0</v>
      </c>
      <c r="J775" s="23">
        <v>0</v>
      </c>
      <c r="K775" s="23">
        <v>0</v>
      </c>
      <c r="L775" s="23">
        <v>0</v>
      </c>
      <c r="M775" s="23">
        <v>0</v>
      </c>
      <c r="N775" s="23">
        <v>0</v>
      </c>
      <c r="O775" s="23">
        <v>0</v>
      </c>
      <c r="P775" s="22">
        <f>Table51111171[[#This Row],[10/31/23]]-Table51111171[[#This Row],[10/31/22]]</f>
        <v>0</v>
      </c>
      <c r="Q775" s="15" t="str">
        <f t="shared" si="134"/>
        <v xml:space="preserve">           -</v>
      </c>
      <c r="R775" s="7"/>
      <c r="T775" s="7"/>
    </row>
    <row r="776" spans="1:20">
      <c r="D776" s="23"/>
      <c r="E776" s="13"/>
      <c r="F776" s="13"/>
      <c r="G776" s="13"/>
      <c r="H776" s="13"/>
      <c r="I776" s="13"/>
      <c r="J776" s="13"/>
      <c r="K776" s="23"/>
      <c r="L776" s="23"/>
      <c r="M776" s="23"/>
      <c r="N776" s="23"/>
      <c r="O776" s="22"/>
      <c r="P776" s="15"/>
      <c r="Q776" s="7"/>
      <c r="R776" s="7"/>
    </row>
    <row r="777" spans="1:20" ht="15.75">
      <c r="C777" s="16" t="s">
        <v>16</v>
      </c>
      <c r="D777" s="23"/>
      <c r="E777" s="13"/>
      <c r="F777" s="13"/>
      <c r="G777" s="13"/>
      <c r="H777" s="13"/>
      <c r="I777" s="13"/>
      <c r="J777" s="13"/>
      <c r="K777" s="23"/>
      <c r="L777" s="23"/>
      <c r="M777" s="23"/>
      <c r="N777" s="23"/>
      <c r="O777" s="22"/>
      <c r="P777" s="15"/>
      <c r="Q777" s="7"/>
      <c r="R777" s="7"/>
    </row>
    <row r="778" spans="1:20" ht="15.75">
      <c r="C778" s="16"/>
      <c r="D778" s="17" t="s">
        <v>45</v>
      </c>
      <c r="E778" s="19" t="s">
        <v>2</v>
      </c>
      <c r="F778" s="19" t="s">
        <v>3</v>
      </c>
      <c r="G778" s="19" t="s">
        <v>4</v>
      </c>
      <c r="H778" s="19" t="s">
        <v>5</v>
      </c>
      <c r="I778" s="19" t="s">
        <v>46</v>
      </c>
      <c r="J778" s="18" t="s">
        <v>47</v>
      </c>
      <c r="K778" s="18" t="s">
        <v>42</v>
      </c>
      <c r="L778" s="18" t="s">
        <v>43</v>
      </c>
      <c r="M778" s="18" t="s">
        <v>44</v>
      </c>
      <c r="N778" s="18" t="s">
        <v>54</v>
      </c>
      <c r="O778" s="18" t="s">
        <v>55</v>
      </c>
      <c r="P778" s="20" t="s">
        <v>49</v>
      </c>
      <c r="Q778" s="21" t="s">
        <v>50</v>
      </c>
      <c r="R778" s="7"/>
      <c r="T778" s="7"/>
    </row>
    <row r="779" spans="1:20">
      <c r="D779" s="24" t="s">
        <v>8</v>
      </c>
      <c r="E779" s="13">
        <v>11</v>
      </c>
      <c r="F779" s="13">
        <v>13</v>
      </c>
      <c r="G779" s="13">
        <v>25</v>
      </c>
      <c r="H779" s="13">
        <f>H704+H629</f>
        <v>26</v>
      </c>
      <c r="I779" s="13">
        <v>28</v>
      </c>
      <c r="J779" s="23">
        <v>29</v>
      </c>
      <c r="K779" s="23">
        <v>28</v>
      </c>
      <c r="L779" s="23">
        <v>27</v>
      </c>
      <c r="M779" s="23">
        <v>27</v>
      </c>
      <c r="N779" s="23">
        <v>24</v>
      </c>
      <c r="O779" s="23">
        <v>26</v>
      </c>
      <c r="P779" s="22">
        <f>Table52112172[[#This Row],[10/31/23]]-Table52112172[[#This Row],[10/31/22]]</f>
        <v>2</v>
      </c>
      <c r="Q779" s="15">
        <f t="shared" ref="Q779:Q783" si="135">IF(O779&lt;&gt;0,P779/O779,"           -")</f>
        <v>7.6923076923076927E-2</v>
      </c>
      <c r="R779" s="23"/>
      <c r="T779" s="7"/>
    </row>
    <row r="780" spans="1:20">
      <c r="D780" s="24" t="s">
        <v>9</v>
      </c>
      <c r="E780" s="13">
        <v>0</v>
      </c>
      <c r="F780" s="13">
        <v>0</v>
      </c>
      <c r="G780" s="13">
        <v>0</v>
      </c>
      <c r="H780" s="13">
        <f>H705+H630</f>
        <v>0</v>
      </c>
      <c r="I780" s="13">
        <v>0</v>
      </c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3">
        <v>0</v>
      </c>
      <c r="P780" s="22">
        <f>Table52112172[[#This Row],[10/31/23]]-Table52112172[[#This Row],[10/31/22]]</f>
        <v>0</v>
      </c>
      <c r="Q780" s="15" t="str">
        <f t="shared" si="135"/>
        <v xml:space="preserve">           -</v>
      </c>
      <c r="R780" s="23"/>
      <c r="T780" s="7"/>
    </row>
    <row r="781" spans="1:20">
      <c r="D781" s="24" t="s">
        <v>10</v>
      </c>
      <c r="E781" s="13">
        <f>139 + 67</f>
        <v>206</v>
      </c>
      <c r="F781" s="13">
        <f>142 + 61</f>
        <v>203</v>
      </c>
      <c r="G781" s="13">
        <f>143+96</f>
        <v>239</v>
      </c>
      <c r="H781" s="13">
        <f>H706+H631</f>
        <v>264</v>
      </c>
      <c r="I781" s="13">
        <v>274</v>
      </c>
      <c r="J781" s="23">
        <v>280</v>
      </c>
      <c r="K781" s="23">
        <v>286</v>
      </c>
      <c r="L781" s="23">
        <v>294</v>
      </c>
      <c r="M781" s="23">
        <v>299</v>
      </c>
      <c r="N781" s="23">
        <v>299</v>
      </c>
      <c r="O781" s="23">
        <v>311</v>
      </c>
      <c r="P781" s="22">
        <f>Table52112172[[#This Row],[10/31/23]]-Table52112172[[#This Row],[10/31/22]]</f>
        <v>12</v>
      </c>
      <c r="Q781" s="15">
        <f t="shared" si="135"/>
        <v>3.8585209003215437E-2</v>
      </c>
      <c r="R781" s="23"/>
      <c r="T781" s="7"/>
    </row>
    <row r="782" spans="1:20">
      <c r="A782" s="65"/>
      <c r="D782" s="24" t="s">
        <v>11</v>
      </c>
      <c r="E782" s="13">
        <f>66</f>
        <v>66</v>
      </c>
      <c r="F782" s="13">
        <f>61</f>
        <v>61</v>
      </c>
      <c r="G782" s="13">
        <v>76</v>
      </c>
      <c r="H782" s="13">
        <f>H707+H632</f>
        <v>82</v>
      </c>
      <c r="I782" s="13">
        <v>91</v>
      </c>
      <c r="J782" s="23">
        <v>86</v>
      </c>
      <c r="K782" s="23">
        <v>82</v>
      </c>
      <c r="L782" s="23">
        <v>77</v>
      </c>
      <c r="M782" s="23">
        <v>66</v>
      </c>
      <c r="N782" s="23">
        <v>70</v>
      </c>
      <c r="O782" s="23">
        <v>67</v>
      </c>
      <c r="P782" s="22">
        <f>Table52112172[[#This Row],[10/31/23]]-Table52112172[[#This Row],[10/31/22]]</f>
        <v>-3</v>
      </c>
      <c r="Q782" s="15">
        <f t="shared" si="135"/>
        <v>-4.4776119402985072E-2</v>
      </c>
      <c r="R782" s="23"/>
      <c r="T782" s="7"/>
    </row>
    <row r="783" spans="1:20">
      <c r="D783" s="24" t="s">
        <v>7</v>
      </c>
      <c r="E783" s="13">
        <f t="shared" ref="E783:F783" si="136">SUM(E779:E782)</f>
        <v>283</v>
      </c>
      <c r="F783" s="13">
        <f t="shared" si="136"/>
        <v>277</v>
      </c>
      <c r="G783" s="13">
        <f>SUM(G779:G782)</f>
        <v>340</v>
      </c>
      <c r="H783" s="13">
        <f>SUM(H779:H782)</f>
        <v>372</v>
      </c>
      <c r="I783" s="13">
        <v>393</v>
      </c>
      <c r="J783" s="13">
        <v>395</v>
      </c>
      <c r="K783" s="13">
        <v>396</v>
      </c>
      <c r="L783" s="13">
        <v>398</v>
      </c>
      <c r="M783" s="13">
        <v>392</v>
      </c>
      <c r="N783" s="13">
        <v>393</v>
      </c>
      <c r="O783" s="13">
        <f>SUM(O779:O782)</f>
        <v>404</v>
      </c>
      <c r="P783" s="22">
        <f>Table52112172[[#This Row],[10/31/23]]-Table52112172[[#This Row],[10/31/22]]</f>
        <v>11</v>
      </c>
      <c r="Q783" s="15">
        <f t="shared" si="135"/>
        <v>2.7227722772277228E-2</v>
      </c>
      <c r="R783" s="23"/>
      <c r="T783" s="7"/>
    </row>
    <row r="784" spans="1:20">
      <c r="D784" s="24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22"/>
      <c r="P784" s="15"/>
      <c r="Q784" s="23"/>
      <c r="R784" s="7"/>
    </row>
    <row r="785" spans="2:20">
      <c r="D785" s="23"/>
      <c r="E785" s="13"/>
      <c r="F785" s="13"/>
      <c r="G785" s="13"/>
      <c r="H785" s="13"/>
      <c r="I785" s="13"/>
      <c r="J785" s="13"/>
      <c r="K785" s="23"/>
      <c r="L785" s="23"/>
      <c r="M785" s="23"/>
      <c r="N785" s="23"/>
      <c r="O785" s="22"/>
      <c r="P785" s="15"/>
      <c r="Q785" s="23"/>
      <c r="R785" s="7"/>
    </row>
    <row r="786" spans="2:20" ht="18.75">
      <c r="B786" s="12" t="s">
        <v>51</v>
      </c>
      <c r="D786" s="23"/>
      <c r="E786" s="13"/>
      <c r="F786" s="13"/>
      <c r="G786" s="13"/>
      <c r="H786" s="13"/>
      <c r="I786" s="13"/>
      <c r="J786" s="13"/>
      <c r="K786" s="23"/>
      <c r="L786" s="23"/>
      <c r="M786" s="23"/>
      <c r="N786" s="23"/>
      <c r="O786" s="22"/>
      <c r="P786" s="15"/>
      <c r="Q786" s="23"/>
      <c r="R786" s="7"/>
    </row>
    <row r="787" spans="2:20">
      <c r="D787" s="23"/>
      <c r="E787" s="13"/>
      <c r="F787" s="13"/>
      <c r="G787" s="13"/>
      <c r="H787" s="13"/>
      <c r="I787" s="13"/>
      <c r="J787" s="13"/>
      <c r="K787" s="23"/>
      <c r="L787" s="23"/>
      <c r="M787" s="23"/>
      <c r="N787" s="23"/>
      <c r="O787" s="22"/>
      <c r="P787" s="15"/>
      <c r="Q787" s="23"/>
      <c r="R787" s="7"/>
    </row>
    <row r="788" spans="2:20" ht="18.75">
      <c r="C788" s="16" t="s">
        <v>52</v>
      </c>
      <c r="D788" s="23"/>
      <c r="E788" s="13"/>
      <c r="F788" s="13"/>
      <c r="G788" s="13"/>
      <c r="H788" s="13"/>
      <c r="I788" s="13"/>
      <c r="J788" s="13"/>
      <c r="K788" s="23"/>
      <c r="L788" s="23"/>
      <c r="M788" s="23"/>
      <c r="N788" s="23"/>
      <c r="O788" s="22"/>
      <c r="P788" s="15"/>
      <c r="Q788" s="23"/>
      <c r="R788" s="7"/>
    </row>
    <row r="789" spans="2:20" ht="15.75">
      <c r="C789" s="16"/>
      <c r="D789" s="17" t="s">
        <v>45</v>
      </c>
      <c r="E789" s="19" t="s">
        <v>2</v>
      </c>
      <c r="F789" s="19" t="s">
        <v>3</v>
      </c>
      <c r="G789" s="19" t="s">
        <v>4</v>
      </c>
      <c r="H789" s="19" t="s">
        <v>5</v>
      </c>
      <c r="I789" s="19" t="s">
        <v>46</v>
      </c>
      <c r="J789" s="18" t="s">
        <v>47</v>
      </c>
      <c r="K789" s="18" t="s">
        <v>42</v>
      </c>
      <c r="L789" s="18" t="s">
        <v>43</v>
      </c>
      <c r="M789" s="18" t="s">
        <v>44</v>
      </c>
      <c r="N789" s="18" t="s">
        <v>54</v>
      </c>
      <c r="O789" s="18" t="s">
        <v>55</v>
      </c>
      <c r="P789" s="20" t="s">
        <v>49</v>
      </c>
      <c r="Q789" s="21" t="s">
        <v>50</v>
      </c>
      <c r="R789" s="23"/>
      <c r="T789" s="7"/>
    </row>
    <row r="790" spans="2:20">
      <c r="D790" s="23" t="s">
        <v>8</v>
      </c>
      <c r="E790" s="25">
        <f>11.33</f>
        <v>11.33</v>
      </c>
      <c r="F790" s="25">
        <v>13</v>
      </c>
      <c r="G790" s="25">
        <v>25.4</v>
      </c>
      <c r="H790" s="25">
        <f>H715+H640</f>
        <v>25</v>
      </c>
      <c r="I790" s="25">
        <v>29</v>
      </c>
      <c r="J790" s="45">
        <v>30</v>
      </c>
      <c r="K790" s="45">
        <v>29</v>
      </c>
      <c r="L790" s="45">
        <v>28</v>
      </c>
      <c r="M790" s="45">
        <v>27</v>
      </c>
      <c r="N790" s="45">
        <v>24</v>
      </c>
      <c r="O790" s="45">
        <v>26</v>
      </c>
      <c r="P790" s="22">
        <f>Table53113173[[#This Row],[10/31/23]]-Table53113173[[#This Row],[10/31/22]]</f>
        <v>2</v>
      </c>
      <c r="Q790" s="15">
        <f t="shared" ref="Q790:Q794" si="137">IF(O790&lt;&gt;0,P790/O790,"           -")</f>
        <v>7.6923076923076927E-2</v>
      </c>
      <c r="R790" s="23"/>
      <c r="T790" s="7"/>
    </row>
    <row r="791" spans="2:20">
      <c r="D791" s="23" t="s">
        <v>9</v>
      </c>
      <c r="E791" s="25">
        <v>0</v>
      </c>
      <c r="F791" s="25">
        <f>0</f>
        <v>0</v>
      </c>
      <c r="G791" s="25">
        <v>0</v>
      </c>
      <c r="H791" s="25">
        <f>H716+H641</f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2">
        <f>Table53113173[[#This Row],[10/31/23]]-Table53113173[[#This Row],[10/31/22]]</f>
        <v>0</v>
      </c>
      <c r="Q791" s="15" t="str">
        <f t="shared" si="137"/>
        <v xml:space="preserve">           -</v>
      </c>
      <c r="R791" s="23"/>
      <c r="T791" s="7"/>
    </row>
    <row r="792" spans="2:20">
      <c r="D792" s="23" t="s">
        <v>10</v>
      </c>
      <c r="E792" s="25">
        <f>128.35 + 2.42 + 1 + 65.66 + 1</f>
        <v>198.42999999999998</v>
      </c>
      <c r="F792" s="25">
        <f>132.15+1.27+1+60.01</f>
        <v>194.43</v>
      </c>
      <c r="G792" s="25">
        <f>131.9+2.68+96.3+0.25</f>
        <v>231.13</v>
      </c>
      <c r="H792" s="25">
        <f>H717+H642</f>
        <v>258</v>
      </c>
      <c r="I792" s="25">
        <v>271</v>
      </c>
      <c r="J792" s="45">
        <v>274</v>
      </c>
      <c r="K792" s="45">
        <v>282</v>
      </c>
      <c r="L792" s="45">
        <v>288</v>
      </c>
      <c r="M792" s="45">
        <v>296</v>
      </c>
      <c r="N792" s="45">
        <v>298</v>
      </c>
      <c r="O792" s="45">
        <v>307</v>
      </c>
      <c r="P792" s="22">
        <f>Table53113173[[#This Row],[10/31/23]]-Table53113173[[#This Row],[10/31/22]]</f>
        <v>9</v>
      </c>
      <c r="Q792" s="15">
        <f t="shared" si="137"/>
        <v>2.9315960912052116E-2</v>
      </c>
      <c r="R792" s="23"/>
      <c r="T792" s="7"/>
    </row>
    <row r="793" spans="2:20">
      <c r="D793" s="23" t="s">
        <v>11</v>
      </c>
      <c r="E793" s="25">
        <f>65.5</f>
        <v>65.5</v>
      </c>
      <c r="F793" s="25">
        <f>61.3</f>
        <v>61.3</v>
      </c>
      <c r="G793" s="25">
        <v>75.930000000000007</v>
      </c>
      <c r="H793" s="25">
        <f>H718+H643</f>
        <v>86</v>
      </c>
      <c r="I793" s="25">
        <v>90</v>
      </c>
      <c r="J793" s="45">
        <v>86</v>
      </c>
      <c r="K793" s="45">
        <v>83</v>
      </c>
      <c r="L793" s="45">
        <v>78</v>
      </c>
      <c r="M793" s="45">
        <v>67</v>
      </c>
      <c r="N793" s="45">
        <v>70</v>
      </c>
      <c r="O793" s="45">
        <v>67</v>
      </c>
      <c r="P793" s="22">
        <f>Table53113173[[#This Row],[10/31/23]]-Table53113173[[#This Row],[10/31/22]]</f>
        <v>-3</v>
      </c>
      <c r="Q793" s="15">
        <f t="shared" si="137"/>
        <v>-4.4776119402985072E-2</v>
      </c>
      <c r="R793" s="23"/>
      <c r="T793" s="7"/>
    </row>
    <row r="794" spans="2:20">
      <c r="D794" s="23" t="s">
        <v>7</v>
      </c>
      <c r="E794" s="13">
        <f t="shared" ref="E794:F794" si="138">SUM(E790:E793)</f>
        <v>275.26</v>
      </c>
      <c r="F794" s="13">
        <f t="shared" si="138"/>
        <v>268.73</v>
      </c>
      <c r="G794" s="13">
        <f>SUM(G790:G793)</f>
        <v>332.46</v>
      </c>
      <c r="H794" s="13">
        <f>SUM(H790:H793)</f>
        <v>369</v>
      </c>
      <c r="I794" s="13">
        <v>390</v>
      </c>
      <c r="J794" s="13">
        <v>390</v>
      </c>
      <c r="K794" s="13">
        <v>394</v>
      </c>
      <c r="L794" s="13">
        <v>394</v>
      </c>
      <c r="M794" s="13">
        <v>390</v>
      </c>
      <c r="N794" s="13">
        <v>392</v>
      </c>
      <c r="O794" s="13">
        <f>SUM(O790:O793)</f>
        <v>400</v>
      </c>
      <c r="P794" s="22">
        <f>Table53113173[[#This Row],[10/31/23]]-Table53113173[[#This Row],[10/31/22]]</f>
        <v>8</v>
      </c>
      <c r="Q794" s="15">
        <f t="shared" si="137"/>
        <v>0.02</v>
      </c>
      <c r="R794" s="23"/>
      <c r="T794" s="7"/>
    </row>
    <row r="795" spans="2:20">
      <c r="D795" s="23"/>
      <c r="E795" s="13"/>
      <c r="F795" s="25"/>
      <c r="G795" s="25"/>
      <c r="H795" s="25"/>
      <c r="I795" s="25"/>
      <c r="J795" s="25"/>
      <c r="K795" s="39"/>
      <c r="L795" s="39"/>
      <c r="M795" s="39"/>
      <c r="N795" s="39"/>
      <c r="O795" s="22"/>
      <c r="P795" s="15"/>
      <c r="Q795" s="23"/>
      <c r="R795" s="7"/>
    </row>
    <row r="796" spans="2:20" ht="18.75">
      <c r="C796" s="16" t="s">
        <v>53</v>
      </c>
      <c r="D796" s="23"/>
      <c r="E796" s="13"/>
      <c r="F796" s="25"/>
      <c r="G796" s="25"/>
      <c r="H796" s="25"/>
      <c r="I796" s="25"/>
      <c r="J796" s="25"/>
      <c r="K796" s="39"/>
      <c r="L796" s="39"/>
      <c r="M796" s="39"/>
      <c r="N796" s="39"/>
      <c r="O796" s="22"/>
      <c r="P796" s="15"/>
      <c r="Q796" s="23"/>
      <c r="R796" s="7"/>
    </row>
    <row r="797" spans="2:20" ht="15.75">
      <c r="C797" s="16"/>
      <c r="D797" s="17" t="s">
        <v>45</v>
      </c>
      <c r="E797" s="19" t="s">
        <v>2</v>
      </c>
      <c r="F797" s="19" t="s">
        <v>3</v>
      </c>
      <c r="G797" s="19" t="s">
        <v>4</v>
      </c>
      <c r="H797" s="19" t="s">
        <v>5</v>
      </c>
      <c r="I797" s="19" t="s">
        <v>46</v>
      </c>
      <c r="J797" s="18" t="s">
        <v>47</v>
      </c>
      <c r="K797" s="18" t="s">
        <v>42</v>
      </c>
      <c r="L797" s="18" t="s">
        <v>43</v>
      </c>
      <c r="M797" s="18" t="s">
        <v>44</v>
      </c>
      <c r="N797" s="18" t="s">
        <v>54</v>
      </c>
      <c r="O797" s="18" t="s">
        <v>55</v>
      </c>
      <c r="P797" s="20" t="s">
        <v>49</v>
      </c>
      <c r="Q797" s="21" t="s">
        <v>50</v>
      </c>
      <c r="R797" s="23"/>
      <c r="T797" s="7"/>
    </row>
    <row r="798" spans="2:20">
      <c r="D798" s="23" t="s">
        <v>8</v>
      </c>
      <c r="E798" s="25">
        <f t="shared" ref="E798:G801" si="139">E806-E790</f>
        <v>0</v>
      </c>
      <c r="F798" s="25">
        <f t="shared" si="139"/>
        <v>0</v>
      </c>
      <c r="G798" s="25">
        <f t="shared" si="139"/>
        <v>1.1000000000000014</v>
      </c>
      <c r="H798" s="25">
        <f>H723+H648</f>
        <v>1</v>
      </c>
      <c r="I798" s="25">
        <v>0</v>
      </c>
      <c r="J798" s="46">
        <v>0</v>
      </c>
      <c r="K798" s="46">
        <v>0</v>
      </c>
      <c r="L798" s="46">
        <v>0</v>
      </c>
      <c r="M798" s="46">
        <v>0</v>
      </c>
      <c r="N798" s="46">
        <v>0</v>
      </c>
      <c r="O798" s="46">
        <v>0</v>
      </c>
      <c r="P798" s="22">
        <f>Table54114174[[#This Row],[10/31/23]]-Table54114174[[#This Row],[10/31/22]]</f>
        <v>0</v>
      </c>
      <c r="Q798" s="15" t="str">
        <f t="shared" ref="Q798:Q802" si="140">IF(O798&lt;&gt;0,P798/O798,"           -")</f>
        <v xml:space="preserve">           -</v>
      </c>
      <c r="R798" s="23"/>
      <c r="T798" s="7"/>
    </row>
    <row r="799" spans="2:20">
      <c r="D799" s="23" t="s">
        <v>9</v>
      </c>
      <c r="E799" s="25">
        <f t="shared" si="139"/>
        <v>0</v>
      </c>
      <c r="F799" s="25">
        <f t="shared" si="139"/>
        <v>0</v>
      </c>
      <c r="G799" s="25">
        <f t="shared" si="139"/>
        <v>0</v>
      </c>
      <c r="H799" s="25">
        <f>H724+H649</f>
        <v>0</v>
      </c>
      <c r="I799" s="25">
        <v>0</v>
      </c>
      <c r="J799" s="46">
        <v>0</v>
      </c>
      <c r="K799" s="46">
        <v>0</v>
      </c>
      <c r="L799" s="46">
        <v>0</v>
      </c>
      <c r="M799" s="46">
        <v>0</v>
      </c>
      <c r="N799" s="46">
        <v>0</v>
      </c>
      <c r="O799" s="46">
        <v>0</v>
      </c>
      <c r="P799" s="22">
        <f>Table54114174[[#This Row],[10/31/23]]-Table54114174[[#This Row],[10/31/22]]</f>
        <v>0</v>
      </c>
      <c r="Q799" s="15" t="str">
        <f t="shared" si="140"/>
        <v xml:space="preserve">           -</v>
      </c>
      <c r="R799" s="23"/>
      <c r="T799" s="7"/>
    </row>
    <row r="800" spans="2:20">
      <c r="D800" s="23" t="s">
        <v>10</v>
      </c>
      <c r="E800" s="25">
        <f t="shared" si="139"/>
        <v>11.22999999999999</v>
      </c>
      <c r="F800" s="25">
        <f t="shared" si="139"/>
        <v>12.180000000000007</v>
      </c>
      <c r="G800" s="25">
        <f t="shared" si="139"/>
        <v>12.669999999999987</v>
      </c>
      <c r="H800" s="25">
        <f>H725+H650</f>
        <v>11</v>
      </c>
      <c r="I800" s="25">
        <v>8</v>
      </c>
      <c r="J800" s="46">
        <v>10</v>
      </c>
      <c r="K800" s="46">
        <v>7</v>
      </c>
      <c r="L800" s="46">
        <v>8</v>
      </c>
      <c r="M800" s="46">
        <v>5</v>
      </c>
      <c r="N800" s="46">
        <v>4</v>
      </c>
      <c r="O800" s="46">
        <v>7</v>
      </c>
      <c r="P800" s="22">
        <f>Table54114174[[#This Row],[10/31/23]]-Table54114174[[#This Row],[10/31/22]]</f>
        <v>3</v>
      </c>
      <c r="Q800" s="15">
        <f t="shared" si="140"/>
        <v>0.42857142857142855</v>
      </c>
      <c r="R800" s="23"/>
      <c r="T800" s="7"/>
    </row>
    <row r="801" spans="2:20">
      <c r="D801" s="23" t="s">
        <v>11</v>
      </c>
      <c r="E801" s="25">
        <f t="shared" si="139"/>
        <v>1.5</v>
      </c>
      <c r="F801" s="25">
        <f t="shared" si="139"/>
        <v>1.5</v>
      </c>
      <c r="G801" s="25">
        <f t="shared" si="139"/>
        <v>1.5</v>
      </c>
      <c r="H801" s="25">
        <f>H726+H651</f>
        <v>2</v>
      </c>
      <c r="I801" s="25">
        <v>2</v>
      </c>
      <c r="J801" s="46">
        <v>2</v>
      </c>
      <c r="K801" s="46">
        <v>2</v>
      </c>
      <c r="L801" s="46">
        <v>2</v>
      </c>
      <c r="M801" s="46">
        <v>1</v>
      </c>
      <c r="N801" s="46">
        <v>1</v>
      </c>
      <c r="O801" s="46">
        <v>1</v>
      </c>
      <c r="P801" s="22">
        <f>Table54114174[[#This Row],[10/31/23]]-Table54114174[[#This Row],[10/31/22]]</f>
        <v>0</v>
      </c>
      <c r="Q801" s="15">
        <f t="shared" si="140"/>
        <v>0</v>
      </c>
      <c r="R801" s="23"/>
      <c r="T801" s="7"/>
    </row>
    <row r="802" spans="2:20">
      <c r="D802" s="23" t="s">
        <v>7</v>
      </c>
      <c r="E802" s="25">
        <f t="shared" ref="E802:F802" si="141">SUM(E798:E801)</f>
        <v>12.72999999999999</v>
      </c>
      <c r="F802" s="25">
        <f t="shared" si="141"/>
        <v>13.680000000000007</v>
      </c>
      <c r="G802" s="25">
        <f>SUM(G798:G801)</f>
        <v>15.269999999999989</v>
      </c>
      <c r="H802" s="25">
        <f>SUM(H798:H801)</f>
        <v>14</v>
      </c>
      <c r="I802" s="25">
        <v>10</v>
      </c>
      <c r="J802" s="25">
        <v>12</v>
      </c>
      <c r="K802" s="25">
        <v>9</v>
      </c>
      <c r="L802" s="25">
        <v>10</v>
      </c>
      <c r="M802" s="25">
        <v>6</v>
      </c>
      <c r="N802" s="25">
        <v>5</v>
      </c>
      <c r="O802" s="25">
        <f>SUM(O798:O801)</f>
        <v>8</v>
      </c>
      <c r="P802" s="22">
        <f>Table54114174[[#This Row],[10/31/23]]-Table54114174[[#This Row],[10/31/22]]</f>
        <v>3</v>
      </c>
      <c r="Q802" s="15">
        <f t="shared" si="140"/>
        <v>0.375</v>
      </c>
      <c r="R802" s="23"/>
      <c r="T802" s="7"/>
    </row>
    <row r="803" spans="2:20">
      <c r="D803" s="23"/>
      <c r="E803" s="13"/>
      <c r="F803" s="25"/>
      <c r="G803" s="25"/>
      <c r="H803" s="25"/>
      <c r="I803" s="25"/>
      <c r="J803" s="25"/>
      <c r="K803" s="23"/>
      <c r="L803" s="23"/>
      <c r="M803" s="23"/>
      <c r="N803" s="23"/>
      <c r="O803" s="22"/>
      <c r="P803" s="15"/>
      <c r="Q803" s="23"/>
      <c r="R803" s="7"/>
    </row>
    <row r="804" spans="2:20" ht="15.75">
      <c r="C804" s="16" t="s">
        <v>17</v>
      </c>
      <c r="D804" s="23"/>
      <c r="E804" s="13"/>
      <c r="F804" s="25"/>
      <c r="G804" s="25"/>
      <c r="H804" s="25"/>
      <c r="I804" s="25"/>
      <c r="J804" s="25"/>
      <c r="K804" s="23"/>
      <c r="L804" s="23"/>
      <c r="M804" s="23"/>
      <c r="N804" s="23"/>
      <c r="O804" s="22"/>
      <c r="P804" s="15"/>
      <c r="Q804" s="23"/>
      <c r="R804" s="7"/>
    </row>
    <row r="805" spans="2:20" ht="15.75">
      <c r="C805" s="16"/>
      <c r="D805" s="17" t="s">
        <v>45</v>
      </c>
      <c r="E805" s="19" t="s">
        <v>2</v>
      </c>
      <c r="F805" s="19" t="s">
        <v>3</v>
      </c>
      <c r="G805" s="19" t="s">
        <v>4</v>
      </c>
      <c r="H805" s="19" t="s">
        <v>5</v>
      </c>
      <c r="I805" s="19" t="s">
        <v>46</v>
      </c>
      <c r="J805" s="18" t="s">
        <v>47</v>
      </c>
      <c r="K805" s="18" t="s">
        <v>42</v>
      </c>
      <c r="L805" s="18" t="s">
        <v>43</v>
      </c>
      <c r="M805" s="18" t="s">
        <v>44</v>
      </c>
      <c r="N805" s="18" t="s">
        <v>54</v>
      </c>
      <c r="O805" s="18" t="s">
        <v>55</v>
      </c>
      <c r="P805" s="20" t="s">
        <v>49</v>
      </c>
      <c r="Q805" s="21" t="s">
        <v>50</v>
      </c>
      <c r="R805" s="23"/>
      <c r="T805" s="7"/>
    </row>
    <row r="806" spans="2:20">
      <c r="D806" s="23" t="s">
        <v>8</v>
      </c>
      <c r="E806" s="25">
        <f>11.33</f>
        <v>11.33</v>
      </c>
      <c r="F806" s="25">
        <f>13</f>
        <v>13</v>
      </c>
      <c r="G806" s="25">
        <v>26.5</v>
      </c>
      <c r="H806" s="25">
        <f>H731+H656</f>
        <v>26</v>
      </c>
      <c r="I806" s="25">
        <v>29</v>
      </c>
      <c r="J806" s="25">
        <v>30</v>
      </c>
      <c r="K806" s="25">
        <v>29</v>
      </c>
      <c r="L806" s="25">
        <v>28</v>
      </c>
      <c r="M806" s="25">
        <v>27</v>
      </c>
      <c r="N806" s="25">
        <v>24</v>
      </c>
      <c r="O806" s="25">
        <v>26</v>
      </c>
      <c r="P806" s="22">
        <f>Table55115175[[#This Row],[10/31/23]]-Table55115175[[#This Row],[10/31/22]]</f>
        <v>2</v>
      </c>
      <c r="Q806" s="15">
        <f t="shared" ref="Q806:Q810" si="142">IF(O806&lt;&gt;0,P806/O806,"           -")</f>
        <v>7.6923076923076927E-2</v>
      </c>
      <c r="R806" s="23"/>
      <c r="T806" s="7"/>
    </row>
    <row r="807" spans="2:20">
      <c r="D807" s="23" t="s">
        <v>9</v>
      </c>
      <c r="E807" s="25">
        <f>0</f>
        <v>0</v>
      </c>
      <c r="F807" s="25">
        <f>0</f>
        <v>0</v>
      </c>
      <c r="G807" s="25">
        <v>0</v>
      </c>
      <c r="H807" s="25">
        <f>H732+H657</f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2">
        <f>Table55115175[[#This Row],[10/31/23]]-Table55115175[[#This Row],[10/31/22]]</f>
        <v>0</v>
      </c>
      <c r="Q807" s="15" t="str">
        <f t="shared" si="142"/>
        <v xml:space="preserve">           -</v>
      </c>
      <c r="S807" s="10"/>
      <c r="T807" s="7"/>
    </row>
    <row r="808" spans="2:20">
      <c r="D808" s="23" t="s">
        <v>10</v>
      </c>
      <c r="E808" s="25">
        <f>140.95 + 68.71</f>
        <v>209.65999999999997</v>
      </c>
      <c r="F808" s="25">
        <f>144.05 + 62.56</f>
        <v>206.61</v>
      </c>
      <c r="G808" s="25">
        <f>144.7+99.1</f>
        <v>243.79999999999998</v>
      </c>
      <c r="H808" s="25">
        <f>H733+H658</f>
        <v>269</v>
      </c>
      <c r="I808" s="25">
        <v>279</v>
      </c>
      <c r="J808" s="25">
        <v>284</v>
      </c>
      <c r="K808" s="25">
        <v>289</v>
      </c>
      <c r="L808" s="25">
        <v>296</v>
      </c>
      <c r="M808" s="25">
        <v>301</v>
      </c>
      <c r="N808" s="25">
        <v>302</v>
      </c>
      <c r="O808" s="25">
        <v>314</v>
      </c>
      <c r="P808" s="22">
        <f>Table55115175[[#This Row],[10/31/23]]-Table55115175[[#This Row],[10/31/22]]</f>
        <v>12</v>
      </c>
      <c r="Q808" s="15">
        <f t="shared" si="142"/>
        <v>3.8216560509554139E-2</v>
      </c>
      <c r="S808" s="10"/>
      <c r="T808" s="7"/>
    </row>
    <row r="809" spans="2:20">
      <c r="D809" s="23" t="s">
        <v>11</v>
      </c>
      <c r="E809" s="25">
        <f>67</f>
        <v>67</v>
      </c>
      <c r="F809" s="25">
        <f>62.8</f>
        <v>62.8</v>
      </c>
      <c r="G809" s="25">
        <v>77.430000000000007</v>
      </c>
      <c r="H809" s="25">
        <f>H734+H659</f>
        <v>88</v>
      </c>
      <c r="I809" s="25">
        <v>92</v>
      </c>
      <c r="J809" s="25">
        <v>88</v>
      </c>
      <c r="K809" s="25">
        <v>85</v>
      </c>
      <c r="L809" s="25">
        <v>80</v>
      </c>
      <c r="M809" s="25">
        <v>68</v>
      </c>
      <c r="N809" s="25">
        <v>71</v>
      </c>
      <c r="O809" s="25">
        <v>68</v>
      </c>
      <c r="P809" s="22">
        <f>Table55115175[[#This Row],[10/31/23]]-Table55115175[[#This Row],[10/31/22]]</f>
        <v>-3</v>
      </c>
      <c r="Q809" s="15">
        <f t="shared" si="142"/>
        <v>-4.4117647058823532E-2</v>
      </c>
      <c r="S809" s="10"/>
      <c r="T809" s="7"/>
    </row>
    <row r="810" spans="2:20">
      <c r="D810" s="23" t="s">
        <v>7</v>
      </c>
      <c r="E810" s="13">
        <f t="shared" ref="E810:F810" si="143">SUM(E806:E809)</f>
        <v>287.99</v>
      </c>
      <c r="F810" s="13">
        <f t="shared" si="143"/>
        <v>282.41000000000003</v>
      </c>
      <c r="G810" s="13">
        <f>SUM(G806:G809)</f>
        <v>347.72999999999996</v>
      </c>
      <c r="H810" s="13">
        <f>SUM(H806:H809)</f>
        <v>383</v>
      </c>
      <c r="I810" s="13">
        <v>400</v>
      </c>
      <c r="J810" s="13">
        <v>402</v>
      </c>
      <c r="K810" s="13">
        <v>403</v>
      </c>
      <c r="L810" s="13">
        <v>404</v>
      </c>
      <c r="M810" s="13">
        <v>396</v>
      </c>
      <c r="N810" s="13">
        <v>397</v>
      </c>
      <c r="O810" s="13">
        <f>SUM(O806:O809)</f>
        <v>408</v>
      </c>
      <c r="P810" s="22">
        <f>Table55115175[[#This Row],[10/31/23]]-Table55115175[[#This Row],[10/31/22]]</f>
        <v>11</v>
      </c>
      <c r="Q810" s="15">
        <f t="shared" si="142"/>
        <v>2.6960784313725492E-2</v>
      </c>
      <c r="S810" s="10"/>
      <c r="T810" s="7"/>
    </row>
    <row r="811" spans="2:20"/>
    <row r="812" spans="2:20">
      <c r="B812" s="7" t="str">
        <f>"_________________________"</f>
        <v>_________________________</v>
      </c>
    </row>
    <row r="813" spans="2:20" ht="18">
      <c r="C813" s="67">
        <v>1</v>
      </c>
      <c r="D813" s="7" t="s">
        <v>18</v>
      </c>
    </row>
    <row r="814" spans="2:20" ht="18">
      <c r="C814" s="67">
        <v>2</v>
      </c>
      <c r="D814" s="7" t="s">
        <v>19</v>
      </c>
    </row>
    <row r="815" spans="2:20" ht="18">
      <c r="C815" s="67"/>
      <c r="D815" s="7" t="s">
        <v>20</v>
      </c>
    </row>
    <row r="816" spans="2:20" ht="18">
      <c r="C816" s="67">
        <v>3</v>
      </c>
      <c r="D816" s="7" t="s">
        <v>21</v>
      </c>
    </row>
    <row r="817" spans="2:18">
      <c r="D817" s="7" t="s">
        <v>22</v>
      </c>
    </row>
    <row r="818" spans="2:18">
      <c r="D818" s="7" t="s">
        <v>23</v>
      </c>
    </row>
    <row r="819" spans="2:18" ht="18">
      <c r="C819" s="67">
        <v>4</v>
      </c>
      <c r="D819" s="7" t="s">
        <v>24</v>
      </c>
    </row>
    <row r="820" spans="2:18" ht="18">
      <c r="C820" s="67"/>
    </row>
    <row r="821" spans="2:18" ht="18">
      <c r="C821" s="67"/>
    </row>
    <row r="822" spans="2:18" ht="18">
      <c r="C822" s="67"/>
    </row>
    <row r="823" spans="2:18" ht="18">
      <c r="C823" s="67"/>
    </row>
    <row r="824" spans="2:18"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</row>
    <row r="825" spans="2:18">
      <c r="B825" s="7" t="s">
        <v>25</v>
      </c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</row>
    <row r="826" spans="2:18">
      <c r="B826" s="7" t="str">
        <f>B75</f>
        <v>November 13, 2023</v>
      </c>
    </row>
    <row r="827" spans="2:18" ht="15.75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8"/>
      <c r="R827" s="8"/>
    </row>
    <row r="828" spans="2:18" ht="15.75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8"/>
      <c r="R828" s="8"/>
    </row>
    <row r="829" spans="2:18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</row>
    <row r="830" spans="2:18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</row>
    <row r="831" spans="2:18" ht="15.75">
      <c r="C831" s="8"/>
      <c r="D831" s="8"/>
      <c r="E831" s="8"/>
      <c r="F831" s="8"/>
      <c r="G831" s="8"/>
      <c r="H831" s="8"/>
      <c r="I831" s="40"/>
      <c r="J831" s="9" t="s">
        <v>26</v>
      </c>
      <c r="K831" s="8"/>
      <c r="L831" s="8"/>
      <c r="M831" s="8"/>
      <c r="N831" s="8"/>
      <c r="O831" s="8"/>
      <c r="P831" s="8"/>
      <c r="Q831" s="7"/>
      <c r="R831" s="7"/>
    </row>
    <row r="832" spans="2:18" ht="15.75">
      <c r="C832" s="8"/>
      <c r="D832" s="8"/>
      <c r="E832" s="8"/>
      <c r="F832" s="8"/>
      <c r="G832" s="8"/>
      <c r="H832" s="8"/>
      <c r="I832" s="40"/>
      <c r="J832" s="9" t="s">
        <v>38</v>
      </c>
      <c r="K832" s="8"/>
      <c r="L832" s="8"/>
      <c r="M832" s="8"/>
      <c r="N832" s="8"/>
      <c r="O832" s="8"/>
      <c r="P832" s="8"/>
      <c r="Q832" s="7"/>
      <c r="R832" s="7"/>
    </row>
    <row r="833" spans="2:20">
      <c r="O833" s="52"/>
      <c r="P833" s="53"/>
      <c r="Q833" s="7"/>
      <c r="R833" s="7"/>
    </row>
    <row r="834" spans="2:20">
      <c r="M834" s="11"/>
      <c r="O834" s="52"/>
      <c r="P834" s="53"/>
      <c r="Q834" s="7"/>
      <c r="R834" s="7"/>
    </row>
    <row r="835" spans="2:20" ht="18.75">
      <c r="B835" s="12" t="s">
        <v>48</v>
      </c>
      <c r="E835" s="13"/>
      <c r="H835" s="13"/>
      <c r="I835" s="13"/>
      <c r="J835" s="13"/>
      <c r="K835" s="54"/>
      <c r="L835" s="54"/>
      <c r="M835" s="54"/>
      <c r="N835" s="54"/>
      <c r="O835" s="14"/>
      <c r="P835" s="15"/>
      <c r="Q835" s="7"/>
      <c r="R835" s="7"/>
    </row>
    <row r="836" spans="2:20">
      <c r="E836" s="13"/>
      <c r="H836" s="13"/>
      <c r="I836" s="13"/>
      <c r="J836" s="13"/>
      <c r="K836" s="54"/>
      <c r="L836" s="54"/>
      <c r="M836" s="54"/>
      <c r="N836" s="54"/>
      <c r="O836" s="14"/>
      <c r="P836" s="15"/>
      <c r="Q836" s="7"/>
      <c r="R836" s="7"/>
    </row>
    <row r="837" spans="2:20" ht="15.75">
      <c r="C837" s="16" t="s">
        <v>6</v>
      </c>
      <c r="E837" s="13"/>
      <c r="H837" s="13"/>
      <c r="I837" s="13"/>
      <c r="J837" s="13"/>
      <c r="K837" s="54"/>
      <c r="L837" s="54"/>
      <c r="M837" s="54"/>
      <c r="N837" s="54"/>
      <c r="O837" s="14"/>
      <c r="P837" s="15"/>
      <c r="Q837" s="7"/>
      <c r="R837" s="7"/>
    </row>
    <row r="838" spans="2:20" ht="15.75">
      <c r="C838" s="16"/>
      <c r="D838" s="17" t="s">
        <v>45</v>
      </c>
      <c r="E838" s="19" t="s">
        <v>2</v>
      </c>
      <c r="F838" s="19" t="s">
        <v>3</v>
      </c>
      <c r="G838" s="19" t="s">
        <v>4</v>
      </c>
      <c r="H838" s="19" t="s">
        <v>5</v>
      </c>
      <c r="I838" s="19" t="s">
        <v>46</v>
      </c>
      <c r="J838" s="18" t="s">
        <v>47</v>
      </c>
      <c r="K838" s="18" t="s">
        <v>42</v>
      </c>
      <c r="L838" s="18" t="s">
        <v>43</v>
      </c>
      <c r="M838" s="18" t="s">
        <v>44</v>
      </c>
      <c r="N838" s="18" t="s">
        <v>54</v>
      </c>
      <c r="O838" s="18" t="s">
        <v>55</v>
      </c>
      <c r="P838" s="20" t="s">
        <v>49</v>
      </c>
      <c r="Q838" s="21" t="s">
        <v>50</v>
      </c>
      <c r="R838" s="7"/>
      <c r="T838" s="7"/>
    </row>
    <row r="839" spans="2:20">
      <c r="D839" s="23" t="s">
        <v>7</v>
      </c>
      <c r="E839" s="13">
        <v>5599</v>
      </c>
      <c r="F839" s="13">
        <v>5377</v>
      </c>
      <c r="G839" s="13">
        <v>5223</v>
      </c>
      <c r="H839" s="13">
        <v>5260</v>
      </c>
      <c r="I839" s="13">
        <v>5427</v>
      </c>
      <c r="J839" s="13">
        <v>5551</v>
      </c>
      <c r="K839" s="13">
        <v>5564</v>
      </c>
      <c r="L839" s="13">
        <v>5434</v>
      </c>
      <c r="M839" s="13">
        <v>5391</v>
      </c>
      <c r="N839" s="13">
        <v>5380</v>
      </c>
      <c r="O839" s="13">
        <v>5225</v>
      </c>
      <c r="P839" s="22">
        <f>Table56116176[[#This Row],[10/31/23]]-Table56116176[[#This Row],[10/31/22]]</f>
        <v>-155</v>
      </c>
      <c r="Q839" s="15">
        <f t="shared" ref="Q839:Q850" si="144">IF(O839&lt;&gt;0,P839/O839,"           -")</f>
        <v>-2.9665071770334929E-2</v>
      </c>
      <c r="R839" s="7"/>
      <c r="T839" s="7"/>
    </row>
    <row r="840" spans="2:20">
      <c r="D840" s="23"/>
      <c r="E840" s="13"/>
      <c r="F840" s="13"/>
      <c r="G840" s="13"/>
      <c r="H840" s="13"/>
      <c r="I840" s="13"/>
      <c r="J840" s="78"/>
      <c r="K840" s="78"/>
      <c r="L840" s="78"/>
      <c r="M840" s="78"/>
      <c r="N840" s="78"/>
      <c r="O840" s="78"/>
      <c r="P840" s="22"/>
      <c r="Q840" s="15"/>
      <c r="R840" s="7"/>
      <c r="T840" s="7"/>
    </row>
    <row r="841" spans="2:20">
      <c r="D841" s="23" t="s">
        <v>8</v>
      </c>
      <c r="E841" s="13">
        <v>115</v>
      </c>
      <c r="F841" s="13">
        <v>104</v>
      </c>
      <c r="G841" s="13">
        <v>99</v>
      </c>
      <c r="H841" s="13">
        <v>95</v>
      </c>
      <c r="I841" s="13">
        <v>96</v>
      </c>
      <c r="J841" s="13">
        <v>101</v>
      </c>
      <c r="K841" s="13">
        <v>97</v>
      </c>
      <c r="L841" s="23">
        <v>96</v>
      </c>
      <c r="M841" s="23">
        <v>97</v>
      </c>
      <c r="N841" s="23">
        <v>84</v>
      </c>
      <c r="O841" s="23">
        <v>93</v>
      </c>
      <c r="P841" s="22">
        <f>Table56116176[[#This Row],[10/31/23]]-Table56116176[[#This Row],[10/31/22]]</f>
        <v>9</v>
      </c>
      <c r="Q841" s="15">
        <f t="shared" si="144"/>
        <v>9.6774193548387094E-2</v>
      </c>
      <c r="R841" s="7"/>
      <c r="T841" s="7"/>
    </row>
    <row r="842" spans="2:20">
      <c r="D842" s="23" t="s">
        <v>9</v>
      </c>
      <c r="E842" s="13">
        <v>2139</v>
      </c>
      <c r="F842" s="13">
        <v>2061</v>
      </c>
      <c r="G842" s="13">
        <v>2039</v>
      </c>
      <c r="H842" s="13">
        <v>2028</v>
      </c>
      <c r="I842" s="13">
        <v>2177</v>
      </c>
      <c r="J842" s="13">
        <v>2216</v>
      </c>
      <c r="K842" s="13">
        <v>2214</v>
      </c>
      <c r="L842" s="13">
        <v>2105</v>
      </c>
      <c r="M842" s="13">
        <v>2084</v>
      </c>
      <c r="N842" s="13">
        <v>2061</v>
      </c>
      <c r="O842" s="13">
        <v>1941</v>
      </c>
      <c r="P842" s="22">
        <f>Table56116176[[#This Row],[10/31/23]]-Table56116176[[#This Row],[10/31/22]]</f>
        <v>-120</v>
      </c>
      <c r="Q842" s="15">
        <f t="shared" si="144"/>
        <v>-6.1823802163833076E-2</v>
      </c>
      <c r="R842" s="7"/>
      <c r="T842" s="7"/>
    </row>
    <row r="843" spans="2:20">
      <c r="D843" s="23" t="s">
        <v>10</v>
      </c>
      <c r="E843" s="13">
        <v>1787</v>
      </c>
      <c r="F843" s="13">
        <v>1732</v>
      </c>
      <c r="G843" s="13">
        <v>1664</v>
      </c>
      <c r="H843" s="13">
        <v>1708</v>
      </c>
      <c r="I843" s="13">
        <v>1735</v>
      </c>
      <c r="J843" s="13">
        <v>1831</v>
      </c>
      <c r="K843" s="13">
        <v>1887</v>
      </c>
      <c r="L843" s="13">
        <v>1923</v>
      </c>
      <c r="M843" s="13">
        <v>2006</v>
      </c>
      <c r="N843" s="13">
        <v>2049</v>
      </c>
      <c r="O843" s="13">
        <v>2145</v>
      </c>
      <c r="P843" s="22">
        <f>Table56116176[[#This Row],[10/31/23]]-Table56116176[[#This Row],[10/31/22]]</f>
        <v>96</v>
      </c>
      <c r="Q843" s="15">
        <f t="shared" si="144"/>
        <v>4.4755244755244755E-2</v>
      </c>
      <c r="R843" s="7"/>
      <c r="T843" s="7"/>
    </row>
    <row r="844" spans="2:20">
      <c r="D844" s="23" t="s">
        <v>11</v>
      </c>
      <c r="E844" s="13">
        <v>1558</v>
      </c>
      <c r="F844" s="13">
        <v>1480</v>
      </c>
      <c r="G844" s="13">
        <v>1421</v>
      </c>
      <c r="H844" s="13">
        <v>1429</v>
      </c>
      <c r="I844" s="13">
        <v>1419</v>
      </c>
      <c r="J844" s="13">
        <v>1403</v>
      </c>
      <c r="K844" s="13">
        <v>1366</v>
      </c>
      <c r="L844" s="13">
        <v>1309</v>
      </c>
      <c r="M844" s="13">
        <v>1204</v>
      </c>
      <c r="N844" s="13">
        <v>1186</v>
      </c>
      <c r="O844" s="13">
        <v>1046</v>
      </c>
      <c r="P844" s="22">
        <f>Table56116176[[#This Row],[10/31/23]]-Table56116176[[#This Row],[10/31/22]]</f>
        <v>-140</v>
      </c>
      <c r="Q844" s="15">
        <f t="shared" si="144"/>
        <v>-0.13384321223709369</v>
      </c>
      <c r="R844" s="7"/>
      <c r="T844" s="7"/>
    </row>
    <row r="845" spans="2:20">
      <c r="D845" s="2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22"/>
      <c r="Q845" s="15"/>
      <c r="R845" s="7"/>
      <c r="T845" s="7"/>
    </row>
    <row r="846" spans="2:20">
      <c r="D846" s="23" t="s">
        <v>12</v>
      </c>
      <c r="E846" s="13">
        <v>4388</v>
      </c>
      <c r="F846" s="13">
        <v>4247</v>
      </c>
      <c r="G846" s="13">
        <v>4078</v>
      </c>
      <c r="H846" s="13">
        <v>4174</v>
      </c>
      <c r="I846" s="13">
        <v>4196</v>
      </c>
      <c r="J846" s="13">
        <v>4306</v>
      </c>
      <c r="K846" s="13">
        <v>4334</v>
      </c>
      <c r="L846" s="55">
        <v>4269</v>
      </c>
      <c r="M846" s="55">
        <v>4279</v>
      </c>
      <c r="N846" s="55">
        <v>4315</v>
      </c>
      <c r="O846" s="55">
        <v>4215</v>
      </c>
      <c r="P846" s="22">
        <f>Table56116176[[#This Row],[10/31/23]]-Table56116176[[#This Row],[10/31/22]]</f>
        <v>-100</v>
      </c>
      <c r="Q846" s="15">
        <f t="shared" si="144"/>
        <v>-2.3724792408066429E-2</v>
      </c>
      <c r="R846" s="7"/>
      <c r="T846" s="7"/>
    </row>
    <row r="847" spans="2:20">
      <c r="D847" s="23" t="s">
        <v>13</v>
      </c>
      <c r="E847" s="13">
        <v>1211</v>
      </c>
      <c r="F847" s="13">
        <v>1130</v>
      </c>
      <c r="G847" s="13">
        <v>1145</v>
      </c>
      <c r="H847" s="13">
        <v>1086</v>
      </c>
      <c r="I847" s="13">
        <v>1231</v>
      </c>
      <c r="J847" s="13">
        <v>1245</v>
      </c>
      <c r="K847" s="13">
        <v>1230</v>
      </c>
      <c r="L847" s="13">
        <v>1165</v>
      </c>
      <c r="M847" s="13">
        <v>1112</v>
      </c>
      <c r="N847" s="13">
        <v>1065</v>
      </c>
      <c r="O847" s="13">
        <v>1010</v>
      </c>
      <c r="P847" s="22">
        <f>Table56116176[[#This Row],[10/31/23]]-Table56116176[[#This Row],[10/31/22]]</f>
        <v>-55</v>
      </c>
      <c r="Q847" s="15">
        <f t="shared" si="144"/>
        <v>-5.4455445544554455E-2</v>
      </c>
      <c r="R847" s="7"/>
      <c r="T847" s="7"/>
    </row>
    <row r="848" spans="2:20">
      <c r="D848" s="2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22"/>
      <c r="Q848" s="15"/>
      <c r="R848" s="7"/>
      <c r="T848" s="7"/>
    </row>
    <row r="849" spans="1:20">
      <c r="D849" s="23" t="s">
        <v>14</v>
      </c>
      <c r="E849" s="13">
        <v>4799</v>
      </c>
      <c r="F849" s="13">
        <v>4604</v>
      </c>
      <c r="G849" s="13">
        <v>4383</v>
      </c>
      <c r="H849" s="13">
        <v>4462</v>
      </c>
      <c r="I849" s="13">
        <v>4494</v>
      </c>
      <c r="J849" s="13">
        <v>4616</v>
      </c>
      <c r="K849" s="13">
        <v>4637</v>
      </c>
      <c r="L849" s="55">
        <v>4577</v>
      </c>
      <c r="M849" s="55">
        <v>4545</v>
      </c>
      <c r="N849" s="55">
        <v>4541</v>
      </c>
      <c r="O849" s="55">
        <v>4428</v>
      </c>
      <c r="P849" s="22">
        <f>Table56116176[[#This Row],[10/31/23]]-Table56116176[[#This Row],[10/31/22]]</f>
        <v>-113</v>
      </c>
      <c r="Q849" s="15">
        <f t="shared" si="144"/>
        <v>-2.5519421860885277E-2</v>
      </c>
      <c r="R849" s="7"/>
      <c r="T849" s="7"/>
    </row>
    <row r="850" spans="1:20">
      <c r="D850" s="23" t="s">
        <v>15</v>
      </c>
      <c r="E850" s="13">
        <v>800</v>
      </c>
      <c r="F850" s="13">
        <v>773</v>
      </c>
      <c r="G850" s="13">
        <v>840</v>
      </c>
      <c r="H850" s="13">
        <v>802</v>
      </c>
      <c r="I850" s="13">
        <v>933</v>
      </c>
      <c r="J850" s="13">
        <v>935</v>
      </c>
      <c r="K850" s="13">
        <v>927</v>
      </c>
      <c r="L850" s="13">
        <v>857</v>
      </c>
      <c r="M850" s="13">
        <v>846</v>
      </c>
      <c r="N850" s="13">
        <v>839</v>
      </c>
      <c r="O850" s="13">
        <v>797</v>
      </c>
      <c r="P850" s="22">
        <f>Table56116176[[#This Row],[10/31/23]]-Table56116176[[#This Row],[10/31/22]]</f>
        <v>-42</v>
      </c>
      <c r="Q850" s="15">
        <f t="shared" si="144"/>
        <v>-5.2697616060225848E-2</v>
      </c>
      <c r="R850" s="7"/>
      <c r="T850" s="7"/>
    </row>
    <row r="851" spans="1:20">
      <c r="D851" s="2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22"/>
      <c r="P851" s="15"/>
      <c r="Q851" s="7"/>
      <c r="R851" s="7"/>
    </row>
    <row r="852" spans="1:20" ht="15.75">
      <c r="C852" s="16" t="s">
        <v>16</v>
      </c>
      <c r="D852" s="2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22"/>
      <c r="P852" s="15"/>
      <c r="Q852" s="7"/>
      <c r="R852" s="7"/>
    </row>
    <row r="853" spans="1:20" ht="15.75">
      <c r="C853" s="16"/>
      <c r="D853" s="17" t="s">
        <v>45</v>
      </c>
      <c r="E853" s="19" t="s">
        <v>2</v>
      </c>
      <c r="F853" s="19" t="s">
        <v>3</v>
      </c>
      <c r="G853" s="19" t="s">
        <v>4</v>
      </c>
      <c r="H853" s="19" t="s">
        <v>5</v>
      </c>
      <c r="I853" s="19" t="s">
        <v>46</v>
      </c>
      <c r="J853" s="18" t="s">
        <v>47</v>
      </c>
      <c r="K853" s="18" t="s">
        <v>42</v>
      </c>
      <c r="L853" s="18" t="s">
        <v>43</v>
      </c>
      <c r="M853" s="18" t="s">
        <v>44</v>
      </c>
      <c r="N853" s="18" t="s">
        <v>54</v>
      </c>
      <c r="O853" s="18" t="s">
        <v>55</v>
      </c>
      <c r="P853" s="20" t="s">
        <v>49</v>
      </c>
      <c r="Q853" s="21" t="s">
        <v>50</v>
      </c>
      <c r="R853" s="7"/>
      <c r="T853" s="7"/>
    </row>
    <row r="854" spans="1:20">
      <c r="D854" s="24" t="s">
        <v>8</v>
      </c>
      <c r="E854" s="13">
        <v>111</v>
      </c>
      <c r="F854" s="13">
        <v>103</v>
      </c>
      <c r="G854" s="13">
        <v>94</v>
      </c>
      <c r="H854" s="13">
        <v>93</v>
      </c>
      <c r="I854" s="13">
        <v>95</v>
      </c>
      <c r="J854" s="13">
        <v>98</v>
      </c>
      <c r="K854" s="13">
        <v>96</v>
      </c>
      <c r="L854" s="13">
        <v>95</v>
      </c>
      <c r="M854" s="13">
        <v>96</v>
      </c>
      <c r="N854" s="13">
        <v>84</v>
      </c>
      <c r="O854" s="13">
        <v>93</v>
      </c>
      <c r="P854" s="22">
        <f>Table57117177[[#This Row],[10/31/23]]-Table57117177[[#This Row],[10/31/22]]</f>
        <v>9</v>
      </c>
      <c r="Q854" s="15">
        <f t="shared" ref="Q854:Q858" si="145">IF(O854&lt;&gt;0,P854/O854,"           -")</f>
        <v>9.6774193548387094E-2</v>
      </c>
      <c r="R854" s="23"/>
      <c r="T854" s="7"/>
    </row>
    <row r="855" spans="1:20">
      <c r="D855" s="24" t="s">
        <v>9</v>
      </c>
      <c r="E855" s="13">
        <v>1246</v>
      </c>
      <c r="F855" s="13">
        <v>1216</v>
      </c>
      <c r="G855" s="13">
        <v>1138</v>
      </c>
      <c r="H855" s="13">
        <v>1169</v>
      </c>
      <c r="I855" s="13">
        <v>1159</v>
      </c>
      <c r="J855" s="13">
        <v>1205</v>
      </c>
      <c r="K855" s="13">
        <v>1208</v>
      </c>
      <c r="L855" s="13">
        <v>1165</v>
      </c>
      <c r="M855" s="13">
        <v>1173</v>
      </c>
      <c r="N855" s="13">
        <v>1182</v>
      </c>
      <c r="O855" s="13">
        <v>1109</v>
      </c>
      <c r="P855" s="22">
        <f>Table57117177[[#This Row],[10/31/23]]-Table57117177[[#This Row],[10/31/22]]</f>
        <v>-73</v>
      </c>
      <c r="Q855" s="15">
        <f t="shared" si="145"/>
        <v>-6.5825067628494133E-2</v>
      </c>
      <c r="R855" s="23"/>
      <c r="T855" s="7"/>
    </row>
    <row r="856" spans="1:20">
      <c r="D856" s="24" t="s">
        <v>10</v>
      </c>
      <c r="E856" s="13">
        <v>1626</v>
      </c>
      <c r="F856" s="13">
        <v>1585</v>
      </c>
      <c r="G856" s="13">
        <v>1541</v>
      </c>
      <c r="H856" s="13">
        <v>1598</v>
      </c>
      <c r="I856" s="13">
        <v>1625</v>
      </c>
      <c r="J856" s="13">
        <v>1703</v>
      </c>
      <c r="K856" s="13">
        <v>1771</v>
      </c>
      <c r="L856" s="13">
        <v>1798</v>
      </c>
      <c r="M856" s="13">
        <v>1889</v>
      </c>
      <c r="N856" s="13">
        <v>1938</v>
      </c>
      <c r="O856" s="13">
        <v>2034</v>
      </c>
      <c r="P856" s="22">
        <f>Table57117177[[#This Row],[10/31/23]]-Table57117177[[#This Row],[10/31/22]]</f>
        <v>96</v>
      </c>
      <c r="Q856" s="15">
        <f t="shared" si="145"/>
        <v>4.71976401179941E-2</v>
      </c>
      <c r="R856" s="23"/>
      <c r="T856" s="7"/>
    </row>
    <row r="857" spans="1:20">
      <c r="A857" s="65"/>
      <c r="D857" s="24" t="s">
        <v>11</v>
      </c>
      <c r="E857" s="13">
        <v>1405</v>
      </c>
      <c r="F857" s="13">
        <v>1343</v>
      </c>
      <c r="G857" s="13">
        <v>1305</v>
      </c>
      <c r="H857" s="13">
        <v>1314</v>
      </c>
      <c r="I857" s="13">
        <v>1317</v>
      </c>
      <c r="J857" s="13">
        <v>1300</v>
      </c>
      <c r="K857" s="13">
        <v>1259</v>
      </c>
      <c r="L857" s="13">
        <v>1211</v>
      </c>
      <c r="M857" s="13">
        <v>1121</v>
      </c>
      <c r="N857" s="13">
        <v>1111</v>
      </c>
      <c r="O857" s="13">
        <v>979</v>
      </c>
      <c r="P857" s="22">
        <f>Table57117177[[#This Row],[10/31/23]]-Table57117177[[#This Row],[10/31/22]]</f>
        <v>-132</v>
      </c>
      <c r="Q857" s="15">
        <f t="shared" si="145"/>
        <v>-0.1348314606741573</v>
      </c>
      <c r="R857" s="23"/>
      <c r="T857" s="7"/>
    </row>
    <row r="858" spans="1:20">
      <c r="D858" s="24" t="s">
        <v>7</v>
      </c>
      <c r="E858" s="13">
        <v>4388</v>
      </c>
      <c r="F858" s="13">
        <v>4247</v>
      </c>
      <c r="G858" s="13">
        <v>4078</v>
      </c>
      <c r="H858" s="13">
        <v>4174</v>
      </c>
      <c r="I858" s="13">
        <v>4196</v>
      </c>
      <c r="J858" s="13">
        <v>4306</v>
      </c>
      <c r="K858" s="13">
        <v>4334</v>
      </c>
      <c r="L858" s="13">
        <v>4269</v>
      </c>
      <c r="M858" s="13">
        <v>4279</v>
      </c>
      <c r="N858" s="13">
        <v>4315</v>
      </c>
      <c r="O858" s="13">
        <f>SUM(O854:O857)</f>
        <v>4215</v>
      </c>
      <c r="P858" s="22">
        <f>Table57117177[[#This Row],[10/31/23]]-Table57117177[[#This Row],[10/31/22]]</f>
        <v>-100</v>
      </c>
      <c r="Q858" s="15">
        <f t="shared" si="145"/>
        <v>-2.3724792408066429E-2</v>
      </c>
      <c r="R858" s="23"/>
      <c r="T858" s="7"/>
    </row>
    <row r="859" spans="1:20">
      <c r="D859" s="24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22"/>
      <c r="P859" s="15"/>
      <c r="Q859" s="23"/>
      <c r="R859" s="7"/>
    </row>
    <row r="860" spans="1:20">
      <c r="D860" s="23"/>
      <c r="E860" s="13"/>
      <c r="F860" s="13"/>
      <c r="G860" s="13"/>
      <c r="H860" s="13"/>
      <c r="I860" s="13"/>
      <c r="J860" s="13"/>
      <c r="K860" s="23"/>
      <c r="L860" s="23"/>
      <c r="M860" s="23"/>
      <c r="N860" s="23"/>
      <c r="O860" s="22"/>
      <c r="P860" s="15"/>
      <c r="Q860" s="23"/>
      <c r="R860" s="7"/>
    </row>
    <row r="861" spans="1:20" ht="18.75">
      <c r="B861" s="12" t="s">
        <v>51</v>
      </c>
      <c r="D861" s="23"/>
      <c r="E861" s="13"/>
      <c r="F861" s="13"/>
      <c r="G861" s="13"/>
      <c r="H861" s="13"/>
      <c r="I861" s="13"/>
      <c r="J861" s="13"/>
      <c r="K861" s="23"/>
      <c r="L861" s="23"/>
      <c r="M861" s="23"/>
      <c r="N861" s="23"/>
      <c r="O861" s="22"/>
      <c r="P861" s="15"/>
      <c r="Q861" s="23"/>
      <c r="R861" s="7"/>
    </row>
    <row r="862" spans="1:20">
      <c r="D862" s="23"/>
      <c r="E862" s="13"/>
      <c r="F862" s="13"/>
      <c r="G862" s="13"/>
      <c r="H862" s="13"/>
      <c r="I862" s="13"/>
      <c r="J862" s="13"/>
      <c r="K862" s="23"/>
      <c r="L862" s="23"/>
      <c r="M862" s="23"/>
      <c r="N862" s="23"/>
      <c r="O862" s="22"/>
      <c r="P862" s="15"/>
      <c r="Q862" s="23"/>
      <c r="R862" s="7"/>
    </row>
    <row r="863" spans="1:20" ht="18.75">
      <c r="C863" s="16" t="s">
        <v>52</v>
      </c>
      <c r="D863" s="23"/>
      <c r="E863" s="13"/>
      <c r="F863" s="13"/>
      <c r="G863" s="13"/>
      <c r="H863" s="13"/>
      <c r="I863" s="13"/>
      <c r="J863" s="13"/>
      <c r="K863" s="23"/>
      <c r="L863" s="23"/>
      <c r="M863" s="23"/>
      <c r="N863" s="23"/>
      <c r="O863" s="22"/>
      <c r="P863" s="15"/>
      <c r="Q863" s="23"/>
      <c r="R863" s="7"/>
    </row>
    <row r="864" spans="1:20" ht="15.75">
      <c r="C864" s="16"/>
      <c r="D864" s="17" t="s">
        <v>45</v>
      </c>
      <c r="E864" s="19" t="s">
        <v>2</v>
      </c>
      <c r="F864" s="19" t="s">
        <v>3</v>
      </c>
      <c r="G864" s="19" t="s">
        <v>4</v>
      </c>
      <c r="H864" s="19" t="s">
        <v>5</v>
      </c>
      <c r="I864" s="19" t="s">
        <v>46</v>
      </c>
      <c r="J864" s="18" t="s">
        <v>47</v>
      </c>
      <c r="K864" s="18" t="s">
        <v>42</v>
      </c>
      <c r="L864" s="18" t="s">
        <v>43</v>
      </c>
      <c r="M864" s="18" t="s">
        <v>44</v>
      </c>
      <c r="N864" s="18" t="s">
        <v>54</v>
      </c>
      <c r="O864" s="18" t="s">
        <v>55</v>
      </c>
      <c r="P864" s="20" t="s">
        <v>49</v>
      </c>
      <c r="Q864" s="21" t="s">
        <v>50</v>
      </c>
      <c r="R864" s="23"/>
      <c r="T864" s="7"/>
    </row>
    <row r="865" spans="3:20">
      <c r="D865" s="23" t="s">
        <v>8</v>
      </c>
      <c r="E865" s="13">
        <f t="shared" ref="E865:K868" si="146">+E39+E114+E189+E265+E339+E415+E565+E790+E490</f>
        <v>106.95</v>
      </c>
      <c r="F865" s="13">
        <f t="shared" si="146"/>
        <v>98.009999999999991</v>
      </c>
      <c r="G865" s="13">
        <f t="shared" si="146"/>
        <v>91.34</v>
      </c>
      <c r="H865" s="13">
        <f t="shared" si="146"/>
        <v>90</v>
      </c>
      <c r="I865" s="13">
        <f t="shared" si="146"/>
        <v>91</v>
      </c>
      <c r="J865" s="13">
        <f t="shared" si="146"/>
        <v>95</v>
      </c>
      <c r="K865" s="13">
        <f t="shared" si="146"/>
        <v>92</v>
      </c>
      <c r="L865" s="26">
        <v>90</v>
      </c>
      <c r="M865" s="26">
        <v>92</v>
      </c>
      <c r="N865" s="26">
        <v>81</v>
      </c>
      <c r="O865" s="26">
        <v>88</v>
      </c>
      <c r="P865" s="22">
        <f>Table58118178[[#This Row],[10/31/23]]-Table58118178[[#This Row],[10/31/22]]</f>
        <v>7</v>
      </c>
      <c r="Q865" s="15">
        <f t="shared" ref="Q865:Q869" si="147">IF(O865&lt;&gt;0,P865/O865,"           -")</f>
        <v>7.9545454545454544E-2</v>
      </c>
      <c r="R865" s="23"/>
      <c r="T865" s="7"/>
    </row>
    <row r="866" spans="3:20">
      <c r="D866" s="23" t="s">
        <v>9</v>
      </c>
      <c r="E866" s="13">
        <f t="shared" si="146"/>
        <v>1472.2800000000002</v>
      </c>
      <c r="F866" s="13">
        <f t="shared" si="146"/>
        <v>1427.74</v>
      </c>
      <c r="G866" s="13">
        <f t="shared" si="146"/>
        <v>1348.98</v>
      </c>
      <c r="H866" s="13">
        <f t="shared" si="146"/>
        <v>1352</v>
      </c>
      <c r="I866" s="13">
        <f t="shared" si="146"/>
        <v>1357</v>
      </c>
      <c r="J866" s="13">
        <f t="shared" si="146"/>
        <v>1412</v>
      </c>
      <c r="K866" s="13">
        <f t="shared" si="146"/>
        <v>1409</v>
      </c>
      <c r="L866" s="55">
        <v>1366</v>
      </c>
      <c r="M866" s="55">
        <v>1380</v>
      </c>
      <c r="N866" s="55">
        <v>1377</v>
      </c>
      <c r="O866" s="55">
        <v>1288</v>
      </c>
      <c r="P866" s="22">
        <f>Table58118178[[#This Row],[10/31/23]]-Table58118178[[#This Row],[10/31/22]]</f>
        <v>-89</v>
      </c>
      <c r="Q866" s="15">
        <f t="shared" si="147"/>
        <v>-6.9099378881987583E-2</v>
      </c>
      <c r="R866" s="23"/>
      <c r="T866" s="7"/>
    </row>
    <row r="867" spans="3:20">
      <c r="D867" s="23" t="s">
        <v>10</v>
      </c>
      <c r="E867" s="13">
        <f t="shared" si="146"/>
        <v>1249.8399999999999</v>
      </c>
      <c r="F867" s="13">
        <f t="shared" si="146"/>
        <v>1209.3699999999999</v>
      </c>
      <c r="G867" s="13">
        <f t="shared" si="146"/>
        <v>1174.42</v>
      </c>
      <c r="H867" s="13">
        <f t="shared" si="146"/>
        <v>1177</v>
      </c>
      <c r="I867" s="13">
        <f t="shared" si="146"/>
        <v>1216</v>
      </c>
      <c r="J867" s="13">
        <f t="shared" si="146"/>
        <v>1274</v>
      </c>
      <c r="K867" s="13">
        <f t="shared" si="146"/>
        <v>1325</v>
      </c>
      <c r="L867" s="55">
        <v>1327</v>
      </c>
      <c r="M867" s="55">
        <v>1431</v>
      </c>
      <c r="N867" s="55">
        <v>1478</v>
      </c>
      <c r="O867" s="55">
        <v>1569</v>
      </c>
      <c r="P867" s="22">
        <f>Table58118178[[#This Row],[10/31/23]]-Table58118178[[#This Row],[10/31/22]]</f>
        <v>91</v>
      </c>
      <c r="Q867" s="15">
        <f t="shared" si="147"/>
        <v>5.7998725302740597E-2</v>
      </c>
      <c r="R867" s="23"/>
      <c r="T867" s="7"/>
    </row>
    <row r="868" spans="3:20">
      <c r="D868" s="23" t="s">
        <v>11</v>
      </c>
      <c r="E868" s="13">
        <f t="shared" si="146"/>
        <v>1167.05</v>
      </c>
      <c r="F868" s="13">
        <f t="shared" si="146"/>
        <v>1108.05</v>
      </c>
      <c r="G868" s="13">
        <f t="shared" si="146"/>
        <v>1055.6799999999998</v>
      </c>
      <c r="H868" s="13">
        <f t="shared" si="146"/>
        <v>1037</v>
      </c>
      <c r="I868" s="13">
        <f t="shared" si="146"/>
        <v>1035</v>
      </c>
      <c r="J868" s="13">
        <f t="shared" si="146"/>
        <v>1020</v>
      </c>
      <c r="K868" s="13">
        <f t="shared" si="146"/>
        <v>1004</v>
      </c>
      <c r="L868" s="55">
        <v>973</v>
      </c>
      <c r="M868" s="55">
        <v>900</v>
      </c>
      <c r="N868" s="55">
        <v>884</v>
      </c>
      <c r="O868" s="55">
        <v>857</v>
      </c>
      <c r="P868" s="22">
        <f>Table58118178[[#This Row],[10/31/23]]-Table58118178[[#This Row],[10/31/22]]</f>
        <v>-27</v>
      </c>
      <c r="Q868" s="15">
        <f t="shared" si="147"/>
        <v>-3.1505250875145857E-2</v>
      </c>
      <c r="R868" s="23"/>
      <c r="T868" s="7"/>
    </row>
    <row r="869" spans="3:20">
      <c r="D869" s="23" t="s">
        <v>7</v>
      </c>
      <c r="E869" s="13">
        <f t="shared" ref="E869:F869" si="148">SUM(E865:E868)</f>
        <v>3996.12</v>
      </c>
      <c r="F869" s="13">
        <f t="shared" si="148"/>
        <v>3843.17</v>
      </c>
      <c r="G869" s="13">
        <f>SUM(G865:G868)</f>
        <v>3670.4199999999996</v>
      </c>
      <c r="H869" s="13">
        <f>SUM(H865:H868)</f>
        <v>3656</v>
      </c>
      <c r="I869" s="13">
        <f>SUM(I865:I868)</f>
        <v>3699</v>
      </c>
      <c r="J869" s="13">
        <f t="shared" ref="J869:K869" si="149">SUM(J865:J868)</f>
        <v>3801</v>
      </c>
      <c r="K869" s="13">
        <f t="shared" si="149"/>
        <v>3830</v>
      </c>
      <c r="L869" s="13">
        <v>3756</v>
      </c>
      <c r="M869" s="13">
        <v>3803</v>
      </c>
      <c r="N869" s="13">
        <v>3820</v>
      </c>
      <c r="O869" s="13">
        <f>SUM(O865:O868)</f>
        <v>3802</v>
      </c>
      <c r="P869" s="22">
        <f>Table58118178[[#This Row],[10/31/23]]-Table58118178[[#This Row],[10/31/22]]</f>
        <v>-18</v>
      </c>
      <c r="Q869" s="15">
        <f t="shared" si="147"/>
        <v>-4.7343503419253023E-3</v>
      </c>
      <c r="R869" s="23"/>
      <c r="T869" s="7"/>
    </row>
    <row r="870" spans="3:20">
      <c r="D870" s="2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22"/>
      <c r="P870" s="15"/>
      <c r="Q870" s="23"/>
      <c r="R870" s="7"/>
    </row>
    <row r="871" spans="3:20" ht="18.75">
      <c r="C871" s="16" t="s">
        <v>53</v>
      </c>
      <c r="D871" s="2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22"/>
      <c r="P871" s="15"/>
      <c r="Q871" s="23"/>
      <c r="R871" s="7"/>
    </row>
    <row r="872" spans="3:20" ht="15.75">
      <c r="C872" s="16"/>
      <c r="D872" s="17" t="s">
        <v>45</v>
      </c>
      <c r="E872" s="19" t="s">
        <v>2</v>
      </c>
      <c r="F872" s="19" t="s">
        <v>3</v>
      </c>
      <c r="G872" s="19" t="s">
        <v>4</v>
      </c>
      <c r="H872" s="19" t="s">
        <v>5</v>
      </c>
      <c r="I872" s="19" t="s">
        <v>46</v>
      </c>
      <c r="J872" s="18" t="s">
        <v>47</v>
      </c>
      <c r="K872" s="18" t="s">
        <v>42</v>
      </c>
      <c r="L872" s="18" t="s">
        <v>43</v>
      </c>
      <c r="M872" s="18" t="s">
        <v>44</v>
      </c>
      <c r="N872" s="18" t="s">
        <v>54</v>
      </c>
      <c r="O872" s="18" t="s">
        <v>55</v>
      </c>
      <c r="P872" s="20" t="s">
        <v>49</v>
      </c>
      <c r="Q872" s="21" t="s">
        <v>50</v>
      </c>
      <c r="R872" s="23"/>
      <c r="T872" s="7"/>
    </row>
    <row r="873" spans="3:20">
      <c r="D873" s="23" t="s">
        <v>8</v>
      </c>
      <c r="E873" s="13">
        <v>7.6299999999999955</v>
      </c>
      <c r="F873" s="13">
        <v>6.9400000000000119</v>
      </c>
      <c r="G873" s="13">
        <v>5.1099999999999994</v>
      </c>
      <c r="H873" s="13">
        <v>6</v>
      </c>
      <c r="I873" s="13">
        <v>5</v>
      </c>
      <c r="J873" s="56">
        <v>5</v>
      </c>
      <c r="K873" s="56">
        <v>7</v>
      </c>
      <c r="L873" s="56">
        <v>6</v>
      </c>
      <c r="M873" s="56">
        <v>5</v>
      </c>
      <c r="N873" s="56">
        <v>3</v>
      </c>
      <c r="O873" s="56">
        <v>6</v>
      </c>
      <c r="P873" s="22">
        <f>Table59119179[[#This Row],[10/31/23]]-Table59119179[[#This Row],[10/31/22]]</f>
        <v>3</v>
      </c>
      <c r="Q873" s="15">
        <f t="shared" ref="Q873:Q877" si="150">IF(O873&lt;&gt;0,P873/O873,"           -")</f>
        <v>0.5</v>
      </c>
      <c r="R873" s="23"/>
      <c r="T873" s="7"/>
    </row>
    <row r="874" spans="3:20">
      <c r="D874" s="23" t="s">
        <v>9</v>
      </c>
      <c r="E874" s="13">
        <v>93.829999999999927</v>
      </c>
      <c r="F874" s="13">
        <v>86.209999999999809</v>
      </c>
      <c r="G874" s="13">
        <v>89.329999999999927</v>
      </c>
      <c r="H874" s="13">
        <v>128</v>
      </c>
      <c r="I874" s="13">
        <v>125</v>
      </c>
      <c r="J874" s="56">
        <v>127</v>
      </c>
      <c r="K874" s="56">
        <v>128</v>
      </c>
      <c r="L874" s="56">
        <v>130</v>
      </c>
      <c r="M874" s="56">
        <v>111</v>
      </c>
      <c r="N874" s="56">
        <v>103</v>
      </c>
      <c r="O874" s="56">
        <v>97</v>
      </c>
      <c r="P874" s="22">
        <f>Table59119179[[#This Row],[10/31/23]]-Table59119179[[#This Row],[10/31/22]]</f>
        <v>-6</v>
      </c>
      <c r="Q874" s="15">
        <f t="shared" si="150"/>
        <v>-6.1855670103092786E-2</v>
      </c>
      <c r="R874" s="23"/>
      <c r="T874" s="7"/>
    </row>
    <row r="875" spans="3:20">
      <c r="D875" s="23" t="s">
        <v>10</v>
      </c>
      <c r="E875" s="13">
        <v>466.68999999999983</v>
      </c>
      <c r="F875" s="13">
        <v>457.58000000000038</v>
      </c>
      <c r="G875" s="13">
        <v>436.72</v>
      </c>
      <c r="H875" s="13">
        <v>496</v>
      </c>
      <c r="I875" s="13">
        <v>475</v>
      </c>
      <c r="J875" s="56">
        <v>503</v>
      </c>
      <c r="K875" s="56">
        <v>513</v>
      </c>
      <c r="L875" s="56">
        <v>548</v>
      </c>
      <c r="M875" s="56">
        <v>528</v>
      </c>
      <c r="N875" s="56">
        <v>530</v>
      </c>
      <c r="O875" s="56">
        <v>529</v>
      </c>
      <c r="P875" s="22">
        <f>Table59119179[[#This Row],[10/31/23]]-Table59119179[[#This Row],[10/31/22]]</f>
        <v>-1</v>
      </c>
      <c r="Q875" s="15">
        <f t="shared" si="150"/>
        <v>-1.890359168241966E-3</v>
      </c>
      <c r="R875" s="23"/>
      <c r="T875" s="7"/>
    </row>
    <row r="876" spans="3:20">
      <c r="D876" s="23" t="s">
        <v>11</v>
      </c>
      <c r="E876" s="13">
        <v>330.26</v>
      </c>
      <c r="F876" s="13">
        <v>318.3599999999999</v>
      </c>
      <c r="G876" s="13">
        <v>320.72000000000003</v>
      </c>
      <c r="H876" s="13">
        <v>348</v>
      </c>
      <c r="I876" s="13">
        <v>345</v>
      </c>
      <c r="J876" s="56">
        <v>344</v>
      </c>
      <c r="K876" s="56">
        <v>323</v>
      </c>
      <c r="L876" s="56">
        <v>297</v>
      </c>
      <c r="M876" s="56">
        <v>274</v>
      </c>
      <c r="N876" s="56">
        <v>275</v>
      </c>
      <c r="O876" s="56">
        <v>165</v>
      </c>
      <c r="P876" s="22">
        <f>Table59119179[[#This Row],[10/31/23]]-Table59119179[[#This Row],[10/31/22]]</f>
        <v>-110</v>
      </c>
      <c r="Q876" s="15">
        <f t="shared" si="150"/>
        <v>-0.66666666666666663</v>
      </c>
      <c r="R876" s="23"/>
      <c r="T876" s="7"/>
    </row>
    <row r="877" spans="3:20">
      <c r="D877" s="23" t="s">
        <v>7</v>
      </c>
      <c r="E877" s="13">
        <v>898.40999999999974</v>
      </c>
      <c r="F877" s="13">
        <v>869.09000000000015</v>
      </c>
      <c r="G877" s="13">
        <v>851.88</v>
      </c>
      <c r="H877" s="13">
        <v>978</v>
      </c>
      <c r="I877" s="13">
        <v>950</v>
      </c>
      <c r="J877" s="13">
        <v>979</v>
      </c>
      <c r="K877" s="13">
        <v>971</v>
      </c>
      <c r="L877" s="13">
        <v>981</v>
      </c>
      <c r="M877" s="13">
        <v>918</v>
      </c>
      <c r="N877" s="13">
        <v>911</v>
      </c>
      <c r="O877" s="13">
        <f>SUM(O873:O876)</f>
        <v>797</v>
      </c>
      <c r="P877" s="22">
        <f>Table59119179[[#This Row],[10/31/23]]-Table59119179[[#This Row],[10/31/22]]</f>
        <v>-114</v>
      </c>
      <c r="Q877" s="15">
        <f t="shared" si="150"/>
        <v>-0.14303638644918445</v>
      </c>
      <c r="R877" s="23"/>
      <c r="T877" s="7"/>
    </row>
    <row r="878" spans="3:20">
      <c r="D878" s="23"/>
      <c r="E878" s="13"/>
      <c r="F878" s="13"/>
      <c r="G878" s="13"/>
      <c r="H878" s="13"/>
      <c r="I878" s="13"/>
      <c r="J878" s="58"/>
      <c r="K878" s="58"/>
      <c r="L878" s="58"/>
      <c r="M878" s="58"/>
      <c r="N878" s="58"/>
      <c r="O878" s="59"/>
      <c r="P878" s="22"/>
      <c r="Q878" s="15"/>
      <c r="R878" s="7"/>
    </row>
    <row r="879" spans="3:20" ht="15.75">
      <c r="C879" s="16" t="s">
        <v>17</v>
      </c>
      <c r="D879" s="2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22"/>
      <c r="P879" s="15"/>
      <c r="Q879" s="23"/>
      <c r="R879" s="7"/>
    </row>
    <row r="880" spans="3:20" ht="15.75">
      <c r="C880" s="16"/>
      <c r="D880" s="17" t="s">
        <v>45</v>
      </c>
      <c r="E880" s="19" t="s">
        <v>2</v>
      </c>
      <c r="F880" s="19" t="s">
        <v>3</v>
      </c>
      <c r="G880" s="19" t="s">
        <v>4</v>
      </c>
      <c r="H880" s="19" t="s">
        <v>5</v>
      </c>
      <c r="I880" s="19" t="s">
        <v>46</v>
      </c>
      <c r="J880" s="18" t="s">
        <v>47</v>
      </c>
      <c r="K880" s="18" t="s">
        <v>42</v>
      </c>
      <c r="L880" s="18" t="s">
        <v>43</v>
      </c>
      <c r="M880" s="18" t="s">
        <v>44</v>
      </c>
      <c r="N880" s="18" t="s">
        <v>54</v>
      </c>
      <c r="O880" s="18" t="s">
        <v>55</v>
      </c>
      <c r="P880" s="20" t="s">
        <v>49</v>
      </c>
      <c r="Q880" s="21" t="s">
        <v>50</v>
      </c>
      <c r="R880" s="23"/>
      <c r="T880" s="7"/>
    </row>
    <row r="881" spans="2:20">
      <c r="D881" s="23" t="s">
        <v>8</v>
      </c>
      <c r="E881" s="13">
        <v>114.58</v>
      </c>
      <c r="F881" s="13">
        <v>104.95</v>
      </c>
      <c r="G881" s="13">
        <v>96.45</v>
      </c>
      <c r="H881" s="13">
        <v>96</v>
      </c>
      <c r="I881" s="13">
        <v>96</v>
      </c>
      <c r="J881" s="13">
        <v>100</v>
      </c>
      <c r="K881" s="13">
        <v>98</v>
      </c>
      <c r="L881" s="13">
        <v>96</v>
      </c>
      <c r="M881" s="13">
        <v>97</v>
      </c>
      <c r="N881" s="13">
        <v>84</v>
      </c>
      <c r="O881" s="13">
        <v>94</v>
      </c>
      <c r="P881" s="22">
        <f>Table60120180[[#This Row],[10/31/23]]-Table60120180[[#This Row],[10/31/22]]</f>
        <v>10</v>
      </c>
      <c r="Q881" s="15">
        <f t="shared" ref="Q881:Q885" si="151">IF(O881&lt;&gt;0,P881/O881,"           -")</f>
        <v>0.10638297872340426</v>
      </c>
      <c r="R881" s="23"/>
      <c r="T881" s="7"/>
    </row>
    <row r="882" spans="2:20">
      <c r="D882" s="23" t="s">
        <v>9</v>
      </c>
      <c r="E882" s="13">
        <v>1566.1100000000001</v>
      </c>
      <c r="F882" s="13">
        <v>1513.9499999999998</v>
      </c>
      <c r="G882" s="13">
        <v>1438.31</v>
      </c>
      <c r="H882" s="13">
        <v>1480</v>
      </c>
      <c r="I882" s="13">
        <v>1482</v>
      </c>
      <c r="J882" s="13">
        <v>1541</v>
      </c>
      <c r="K882" s="13">
        <v>1523</v>
      </c>
      <c r="L882" s="13">
        <v>1496</v>
      </c>
      <c r="M882" s="13">
        <v>1491</v>
      </c>
      <c r="N882" s="13">
        <v>1480</v>
      </c>
      <c r="O882" s="13">
        <v>1385</v>
      </c>
      <c r="P882" s="22">
        <f>Table60120180[[#This Row],[10/31/23]]-Table60120180[[#This Row],[10/31/22]]</f>
        <v>-95</v>
      </c>
      <c r="Q882" s="15">
        <f t="shared" si="151"/>
        <v>-6.8592057761732855E-2</v>
      </c>
      <c r="S882" s="10"/>
      <c r="T882" s="7"/>
    </row>
    <row r="883" spans="2:20">
      <c r="D883" s="23" t="s">
        <v>10</v>
      </c>
      <c r="E883" s="13">
        <v>1716.5299999999997</v>
      </c>
      <c r="F883" s="13">
        <v>1666.9500000000003</v>
      </c>
      <c r="G883" s="13">
        <v>1611.14</v>
      </c>
      <c r="H883" s="13">
        <v>1673</v>
      </c>
      <c r="I883" s="13">
        <v>1691</v>
      </c>
      <c r="J883" s="13">
        <v>1778</v>
      </c>
      <c r="K883" s="13">
        <v>1814</v>
      </c>
      <c r="L883" s="13">
        <v>1875</v>
      </c>
      <c r="M883" s="13">
        <v>1959</v>
      </c>
      <c r="N883" s="13">
        <v>2008</v>
      </c>
      <c r="O883" s="13">
        <v>2098</v>
      </c>
      <c r="P883" s="22">
        <f>Table60120180[[#This Row],[10/31/23]]-Table60120180[[#This Row],[10/31/22]]</f>
        <v>90</v>
      </c>
      <c r="Q883" s="15">
        <f t="shared" si="151"/>
        <v>4.2897998093422304E-2</v>
      </c>
      <c r="S883" s="10"/>
      <c r="T883" s="7"/>
    </row>
    <row r="884" spans="2:20">
      <c r="D884" s="23" t="s">
        <v>11</v>
      </c>
      <c r="E884" s="13">
        <v>1497.31</v>
      </c>
      <c r="F884" s="13">
        <v>1426.4099999999999</v>
      </c>
      <c r="G884" s="13">
        <v>1376.3999999999999</v>
      </c>
      <c r="H884" s="13">
        <v>1385</v>
      </c>
      <c r="I884" s="13">
        <v>1380</v>
      </c>
      <c r="J884" s="13">
        <v>1364</v>
      </c>
      <c r="K884" s="13">
        <v>1326</v>
      </c>
      <c r="L884" s="13">
        <v>1270</v>
      </c>
      <c r="M884" s="13">
        <v>1174</v>
      </c>
      <c r="N884" s="13">
        <v>1159</v>
      </c>
      <c r="O884" s="13">
        <v>1022</v>
      </c>
      <c r="P884" s="22">
        <f>Table60120180[[#This Row],[10/31/23]]-Table60120180[[#This Row],[10/31/22]]</f>
        <v>-137</v>
      </c>
      <c r="Q884" s="15">
        <f t="shared" si="151"/>
        <v>-0.13405088062622308</v>
      </c>
      <c r="S884" s="10"/>
      <c r="T884" s="7"/>
    </row>
    <row r="885" spans="2:20">
      <c r="D885" s="23" t="s">
        <v>7</v>
      </c>
      <c r="E885" s="13">
        <v>4894.53</v>
      </c>
      <c r="F885" s="13">
        <v>4712.26</v>
      </c>
      <c r="G885" s="13">
        <v>4522.3</v>
      </c>
      <c r="H885" s="13">
        <v>4634</v>
      </c>
      <c r="I885" s="13">
        <v>4649</v>
      </c>
      <c r="J885" s="13">
        <v>4783</v>
      </c>
      <c r="K885" s="13">
        <v>4761</v>
      </c>
      <c r="L885" s="13">
        <v>4737</v>
      </c>
      <c r="M885" s="13">
        <v>4721</v>
      </c>
      <c r="N885" s="13">
        <v>4731</v>
      </c>
      <c r="O885" s="13">
        <f>SUM(O881:O884)</f>
        <v>4599</v>
      </c>
      <c r="P885" s="22">
        <f>Table60120180[[#This Row],[10/31/23]]-Table60120180[[#This Row],[10/31/22]]</f>
        <v>-132</v>
      </c>
      <c r="Q885" s="15">
        <f t="shared" si="151"/>
        <v>-2.8701891715590344E-2</v>
      </c>
      <c r="S885" s="10"/>
      <c r="T885" s="7"/>
    </row>
    <row r="886" spans="2:20"/>
    <row r="887" spans="2:20">
      <c r="B887" s="7" t="str">
        <f>"_________________________"</f>
        <v>_________________________</v>
      </c>
    </row>
    <row r="888" spans="2:20" ht="18">
      <c r="C888" s="67">
        <v>1</v>
      </c>
      <c r="D888" s="7" t="s">
        <v>18</v>
      </c>
    </row>
    <row r="889" spans="2:20" ht="18">
      <c r="C889" s="67">
        <v>2</v>
      </c>
      <c r="D889" s="7" t="s">
        <v>19</v>
      </c>
    </row>
    <row r="890" spans="2:20" ht="18">
      <c r="C890" s="67"/>
      <c r="D890" s="7" t="s">
        <v>20</v>
      </c>
    </row>
    <row r="891" spans="2:20" ht="18">
      <c r="C891" s="67">
        <v>3</v>
      </c>
      <c r="D891" s="7" t="s">
        <v>21</v>
      </c>
    </row>
    <row r="892" spans="2:20">
      <c r="D892" s="7" t="s">
        <v>22</v>
      </c>
    </row>
    <row r="893" spans="2:20">
      <c r="D893" s="7" t="s">
        <v>23</v>
      </c>
    </row>
    <row r="894" spans="2:20" ht="18">
      <c r="C894" s="67">
        <v>4</v>
      </c>
      <c r="D894" s="7" t="s">
        <v>24</v>
      </c>
    </row>
    <row r="895" spans="2:20" ht="18">
      <c r="C895" s="67"/>
    </row>
    <row r="896" spans="2:20" ht="18">
      <c r="C896" s="67"/>
    </row>
    <row r="897" spans="2:18" ht="18">
      <c r="C897" s="67"/>
    </row>
    <row r="898" spans="2:18" ht="18">
      <c r="C898" s="67"/>
    </row>
    <row r="899" spans="2:18" ht="18">
      <c r="C899" s="67"/>
    </row>
    <row r="900" spans="2:18">
      <c r="B900" s="7" t="s">
        <v>25</v>
      </c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</row>
    <row r="901" spans="2:18">
      <c r="B901" s="7" t="str">
        <f>B75</f>
        <v>November 13, 2023</v>
      </c>
    </row>
    <row r="902" spans="2:18" ht="15" customHeight="1"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</row>
    <row r="903" spans="2:18" ht="15" customHeight="1"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</row>
    <row r="904" spans="2:18" ht="15" customHeight="1"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</row>
    <row r="905" spans="2:18" ht="15" customHeight="1"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</row>
    <row r="906" spans="2:18" ht="15" customHeight="1"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</row>
    <row r="907" spans="2:18" ht="15" customHeight="1"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</row>
    <row r="908" spans="2:18" ht="15" customHeight="1"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</row>
    <row r="909" spans="2:18" ht="15" customHeight="1"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</row>
    <row r="910" spans="2:18" ht="15" customHeight="1"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</row>
    <row r="911" spans="2:18" ht="15" customHeight="1"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</row>
    <row r="912" spans="2:18" ht="15" customHeight="1"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</row>
    <row r="913" spans="5:18" ht="15" customHeight="1"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</row>
    <row r="914" spans="5:18" ht="15" customHeight="1"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</row>
    <row r="915" spans="5:18" ht="15" customHeight="1"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</row>
    <row r="916" spans="5:18" ht="15" customHeight="1"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</row>
    <row r="917" spans="5:18" ht="15" customHeight="1"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</row>
    <row r="918" spans="5:18" ht="15" customHeight="1"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</row>
    <row r="919" spans="5:18" ht="15" customHeight="1"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</row>
    <row r="920" spans="5:18" ht="15" customHeight="1"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</row>
    <row r="921" spans="5:18" ht="15" customHeight="1"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</row>
    <row r="922" spans="5:18" ht="15" customHeight="1"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</row>
    <row r="923" spans="5:18" ht="15" customHeight="1"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</row>
    <row r="924" spans="5:18" ht="15" customHeight="1"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</row>
    <row r="925" spans="5:18" ht="15" customHeight="1"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</row>
    <row r="926" spans="5:18" ht="15" customHeight="1"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</row>
    <row r="927" spans="5:18" ht="15" customHeight="1"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</row>
    <row r="928" spans="5:18" ht="15" customHeight="1"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</row>
    <row r="929" spans="5:18" ht="15" customHeight="1"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</row>
    <row r="930" spans="5:18" ht="15" customHeight="1"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</row>
    <row r="931" spans="5:18" ht="15" customHeight="1"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</row>
    <row r="932" spans="5:18" ht="15" customHeight="1"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</row>
    <row r="933" spans="5:18" ht="15" customHeight="1"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</row>
    <row r="934" spans="5:18" ht="15" customHeight="1"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</row>
    <row r="935" spans="5:18" ht="15" customHeight="1"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</row>
    <row r="936" spans="5:18" ht="15" customHeight="1"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</row>
    <row r="937" spans="5:18" ht="15" customHeight="1"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</row>
    <row r="938" spans="5:18" ht="15" customHeight="1"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</row>
    <row r="939" spans="5:18" ht="15" customHeight="1"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</row>
  </sheetData>
  <phoneticPr fontId="13" type="noConversion"/>
  <printOptions verticalCentered="1"/>
  <pageMargins left="0.5" right="0.13" top="0.25" bottom="0.75" header="0.48" footer="0.5"/>
  <pageSetup scale="60" fitToHeight="0" orientation="portrait" verticalDpi="1200" r:id="rId1"/>
  <rowBreaks count="11" manualBreakCount="11">
    <brk id="75" max="16383" man="1"/>
    <brk id="150" max="16383" man="1"/>
    <brk id="226" max="16383" man="1"/>
    <brk id="301" max="16383" man="1"/>
    <brk id="376" max="16383" man="1"/>
    <brk id="451" max="16383" man="1"/>
    <brk id="526" max="16383" man="1"/>
    <brk id="601" max="16383" man="1"/>
    <brk id="676" max="16383" man="1"/>
    <brk id="751" max="16383" man="1"/>
    <brk id="826" max="16383" man="1"/>
  </rowBreaks>
  <ignoredErrors>
    <ignoredError sqref="Q389 Q391:Q394 Q396:Q397 Q399:Q400 P389:P400 Q314:Q325 P314:P325 P239:P250 Q239:Q250 P163:P174 Q163:Q174 P88:P99 Q88:Q99 Q13:Q24 P22 P19 P14 P13 P15:P18 P20:P21 P23:P24 Q464:Q475 P539:P550 P581" calculatedColumn="1"/>
  </ignoredErrors>
  <drawing r:id="rId2"/>
  <tableParts count="6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 Page</vt:lpstr>
      <vt:lpstr>Oct 2023</vt:lpstr>
      <vt:lpstr>'Oct 2023'!Print_Area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swsuser</dc:creator>
  <cp:lastModifiedBy>Susan Spencer</cp:lastModifiedBy>
  <cp:lastPrinted>2022-11-18T19:21:42Z</cp:lastPrinted>
  <dcterms:created xsi:type="dcterms:W3CDTF">2021-11-09T10:21:07Z</dcterms:created>
  <dcterms:modified xsi:type="dcterms:W3CDTF">2023-11-27T20:31:29Z</dcterms:modified>
</cp:coreProperties>
</file>